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raya\OneDrive - ICAFE\ICAFE\Modelo\Beneficiado\Cosecha 18-19\Estudio de Campo\Datos de Campo\Analisis ECBC\"/>
    </mc:Choice>
  </mc:AlternateContent>
  <xr:revisionPtr revIDLastSave="80" documentId="6_{B7CF0907-EAA8-403A-8292-DCB0CFBF6958}" xr6:coauthVersionLast="44" xr6:coauthVersionMax="44" xr10:uidLastSave="{2A71684F-22FA-47A7-94DD-D1B295EC4947}"/>
  <bookViews>
    <workbookView xWindow="-120" yWindow="-120" windowWidth="29040" windowHeight="15840" xr2:uid="{00000000-000D-0000-FFFF-FFFF00000000}"/>
  </bookViews>
  <sheets>
    <sheet name="DATOS" sheetId="2" r:id="rId1"/>
    <sheet name="BASE DATOS" sheetId="4" r:id="rId2"/>
    <sheet name="COSTO" sheetId="5" r:id="rId3"/>
  </sheets>
  <definedNames>
    <definedName name="_xlnm.Print_Area" localSheetId="1">'BASE DATOS'!$A$1:$N$72</definedName>
    <definedName name="_xlnm.Print_Area" localSheetId="2">COSTO!$A$1:$J$42</definedName>
    <definedName name="_xlnm.Print_Area" localSheetId="0">DATOS!$A$1:$O$46</definedName>
    <definedName name="_xlnm.Print_Titles" localSheetId="1">'BASE DATOS'!$1:$5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E26" i="2" l="1"/>
  <c r="O43" i="4" l="1"/>
  <c r="O41" i="4"/>
  <c r="O40" i="4"/>
  <c r="O37" i="4" l="1"/>
  <c r="O29" i="4" l="1"/>
  <c r="O18" i="4"/>
  <c r="O17" i="4"/>
  <c r="O14" i="4"/>
  <c r="O13" i="4"/>
  <c r="O47" i="4" l="1"/>
  <c r="O48" i="4" l="1"/>
  <c r="G11" i="2" l="1"/>
  <c r="G9" i="2"/>
  <c r="O27" i="4" s="1"/>
  <c r="C18" i="5"/>
  <c r="C12" i="5"/>
  <c r="P18" i="4" l="1"/>
  <c r="P14" i="4"/>
  <c r="P41" i="4"/>
  <c r="P40" i="4" l="1"/>
  <c r="P37" i="4" l="1"/>
  <c r="O8" i="4"/>
  <c r="E36" i="5" l="1"/>
  <c r="G36" i="5" s="1"/>
  <c r="O45" i="4"/>
  <c r="O44" i="4"/>
  <c r="E33" i="5" s="1"/>
  <c r="E31" i="5"/>
  <c r="G31" i="5" s="1"/>
  <c r="E30" i="5"/>
  <c r="O39" i="4"/>
  <c r="C30" i="5" s="1"/>
  <c r="O23" i="4"/>
  <c r="C20" i="5" s="1"/>
  <c r="E28" i="5"/>
  <c r="G28" i="5" s="1"/>
  <c r="O35" i="4"/>
  <c r="O34" i="4"/>
  <c r="C27" i="5"/>
  <c r="O32" i="4"/>
  <c r="O30" i="4"/>
  <c r="E24" i="5" s="1"/>
  <c r="O28" i="4"/>
  <c r="O25" i="4"/>
  <c r="O24" i="4"/>
  <c r="E20" i="5" s="1"/>
  <c r="O20" i="4"/>
  <c r="O9" i="4"/>
  <c r="O19" i="4"/>
  <c r="P19" i="4" s="1"/>
  <c r="P17" i="4"/>
  <c r="O16" i="4"/>
  <c r="O12" i="4"/>
  <c r="P12" i="4" s="1"/>
  <c r="O7" i="4"/>
  <c r="O15" i="4"/>
  <c r="P15" i="4" s="1"/>
  <c r="P13" i="4"/>
  <c r="B3" i="5"/>
  <c r="E10" i="5"/>
  <c r="E15" i="5" l="1"/>
  <c r="G30" i="5"/>
  <c r="G29" i="5" s="1"/>
  <c r="E16" i="5"/>
  <c r="G20" i="5"/>
  <c r="P16" i="4"/>
  <c r="C16" i="5" s="1"/>
  <c r="P20" i="4"/>
  <c r="E17" i="5" s="1"/>
  <c r="G17" i="5" s="1"/>
  <c r="P28" i="4"/>
  <c r="E23" i="5" s="1"/>
  <c r="P35" i="4"/>
  <c r="E27" i="5" s="1"/>
  <c r="G27" i="5" s="1"/>
  <c r="P45" i="4"/>
  <c r="E34" i="5" s="1"/>
  <c r="G34" i="5" s="1"/>
  <c r="P7" i="4"/>
  <c r="C10" i="5" s="1"/>
  <c r="G10" i="5" s="1"/>
  <c r="P32" i="4"/>
  <c r="E25" i="5" s="1"/>
  <c r="G25" i="5" s="1"/>
  <c r="P9" i="4"/>
  <c r="E11" i="5" s="1"/>
  <c r="G11" i="5" s="1"/>
  <c r="P25" i="4"/>
  <c r="E21" i="5" s="1"/>
  <c r="G21" i="5" s="1"/>
  <c r="P43" i="4"/>
  <c r="C33" i="5" s="1"/>
  <c r="G33" i="5" s="1"/>
  <c r="P48" i="4"/>
  <c r="E37" i="5" s="1"/>
  <c r="G37" i="5" s="1"/>
  <c r="G35" i="5" s="1"/>
  <c r="C15" i="5"/>
  <c r="G15" i="5" l="1"/>
  <c r="G16" i="5"/>
  <c r="G19" i="5"/>
  <c r="G12" i="5"/>
  <c r="G9" i="5" s="1"/>
  <c r="G32" i="5"/>
  <c r="D18" i="2"/>
  <c r="G18" i="5" l="1"/>
  <c r="G14" i="5" s="1"/>
  <c r="G13" i="5" s="1"/>
  <c r="C24" i="5"/>
  <c r="G24" i="5" s="1"/>
  <c r="C23" i="5"/>
  <c r="G23" i="5" s="1"/>
  <c r="G22" i="5" l="1"/>
  <c r="G39" i="5" s="1"/>
  <c r="G40" i="5" l="1"/>
  <c r="I16" i="5"/>
  <c r="I21" i="5"/>
  <c r="I34" i="5"/>
  <c r="I23" i="5"/>
  <c r="I15" i="5"/>
  <c r="I25" i="5"/>
  <c r="I36" i="5"/>
  <c r="I28" i="5"/>
  <c r="I31" i="5"/>
  <c r="I19" i="5"/>
  <c r="I32" i="5"/>
  <c r="I10" i="5"/>
  <c r="I20" i="5"/>
  <c r="I33" i="5"/>
  <c r="I11" i="5"/>
  <c r="I27" i="5"/>
  <c r="I17" i="5"/>
  <c r="I30" i="5"/>
  <c r="I24" i="5"/>
  <c r="I37" i="5"/>
  <c r="I29" i="5"/>
  <c r="I22" i="5"/>
  <c r="I9" i="5"/>
  <c r="I12" i="5"/>
  <c r="I35" i="5"/>
  <c r="I18" i="5"/>
  <c r="I14" i="5"/>
  <c r="I13" i="5"/>
  <c r="I39" i="5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maraya</author>
  </authors>
  <commentList>
    <comment ref="E9" authorId="0" shapeId="0" xr:uid="{C203E9A6-C556-443B-BA86-463E4989A879}">
      <text>
        <r>
          <rPr>
            <sz val="10"/>
            <color indexed="9"/>
            <rFont val="Arial"/>
            <family val="2"/>
          </rPr>
          <t xml:space="preserve">Digitar la cantidad de </t>
        </r>
        <r>
          <rPr>
            <b/>
            <u/>
            <sz val="10"/>
            <color indexed="51"/>
            <rFont val="Arial"/>
            <family val="2"/>
          </rPr>
          <t>CAFÉ</t>
        </r>
        <r>
          <rPr>
            <b/>
            <sz val="10"/>
            <color indexed="9"/>
            <rFont val="Arial"/>
            <family val="2"/>
          </rPr>
          <t xml:space="preserve"> </t>
        </r>
        <r>
          <rPr>
            <b/>
            <u/>
            <sz val="10"/>
            <color indexed="51"/>
            <rFont val="Arial"/>
            <family val="2"/>
          </rPr>
          <t>FRUTA</t>
        </r>
        <r>
          <rPr>
            <sz val="10"/>
            <color indexed="9"/>
            <rFont val="Arial"/>
            <family val="2"/>
          </rPr>
          <t xml:space="preserve"> procesada en la cosecha, dato en </t>
        </r>
        <r>
          <rPr>
            <b/>
            <u/>
            <sz val="10"/>
            <color indexed="51"/>
            <rFont val="Arial"/>
            <family val="2"/>
          </rPr>
          <t>FANEGAS</t>
        </r>
        <r>
          <rPr>
            <sz val="10"/>
            <color indexed="9"/>
            <rFont val="Arial"/>
            <family val="2"/>
          </rPr>
          <t>.</t>
        </r>
      </text>
    </comment>
    <comment ref="E11" authorId="0" shapeId="0" xr:uid="{C44F0D72-86B4-4C80-A535-8F2C384046BA}">
      <text>
        <r>
          <rPr>
            <sz val="10"/>
            <color indexed="9"/>
            <rFont val="Arial"/>
            <family val="2"/>
          </rPr>
          <t xml:space="preserve">Digitar el </t>
        </r>
        <r>
          <rPr>
            <b/>
            <u/>
            <sz val="10"/>
            <color indexed="14"/>
            <rFont val="Arial"/>
            <family val="2"/>
          </rPr>
          <t>RENDIMIENTO</t>
        </r>
        <r>
          <rPr>
            <sz val="10"/>
            <color indexed="9"/>
            <rFont val="Arial"/>
            <family val="2"/>
          </rPr>
          <t xml:space="preserve"> de </t>
        </r>
        <r>
          <rPr>
            <b/>
            <u/>
            <sz val="10"/>
            <color indexed="14"/>
            <rFont val="Arial"/>
            <family val="2"/>
          </rPr>
          <t>BENEFICIADO</t>
        </r>
        <r>
          <rPr>
            <sz val="10"/>
            <color indexed="9"/>
            <rFont val="Arial"/>
            <family val="2"/>
          </rPr>
          <t xml:space="preserve"> de café obtenido en la cosecha, dato en kilogramos por fanega (kg/fan).</t>
        </r>
      </text>
    </comment>
    <comment ref="E15" authorId="0" shapeId="0" xr:uid="{B4376F72-2A41-4F02-9148-3AD3CC024333}">
      <text>
        <r>
          <rPr>
            <sz val="10"/>
            <color indexed="9"/>
            <rFont val="Arial"/>
            <family val="2"/>
          </rPr>
          <t xml:space="preserve">Digitar el </t>
        </r>
        <r>
          <rPr>
            <b/>
            <u/>
            <sz val="10"/>
            <color indexed="51"/>
            <rFont val="Arial"/>
            <family val="2"/>
          </rPr>
          <t>PORCENTAJE</t>
        </r>
        <r>
          <rPr>
            <sz val="10"/>
            <color indexed="9"/>
            <rFont val="Arial"/>
            <family val="2"/>
          </rPr>
          <t xml:space="preserve"> de café vendido para </t>
        </r>
        <r>
          <rPr>
            <b/>
            <u/>
            <sz val="10"/>
            <color indexed="51"/>
            <rFont val="Arial"/>
            <family val="2"/>
          </rPr>
          <t>EXPORTACIÓN</t>
        </r>
        <r>
          <rPr>
            <sz val="10"/>
            <color indexed="9"/>
            <rFont val="Arial"/>
            <family val="2"/>
          </rPr>
          <t xml:space="preserve">  en la cosecha.</t>
        </r>
      </text>
    </comment>
    <comment ref="E17" authorId="0" shapeId="0" xr:uid="{4A3F5E34-EC67-4C89-BEE8-D2021A572658}">
      <text>
        <r>
          <rPr>
            <sz val="10"/>
            <color indexed="9"/>
            <rFont val="Arial"/>
            <family val="2"/>
          </rPr>
          <t xml:space="preserve">Digitar un código (1 a 4) según corresponda al </t>
        </r>
        <r>
          <rPr>
            <b/>
            <u/>
            <sz val="10"/>
            <color indexed="14"/>
            <rFont val="Arial"/>
            <family val="2"/>
          </rPr>
          <t>PROVEEDOR</t>
        </r>
        <r>
          <rPr>
            <sz val="10"/>
            <color indexed="9"/>
            <rFont val="Arial"/>
            <family val="2"/>
          </rPr>
          <t xml:space="preserve"> de </t>
        </r>
        <r>
          <rPr>
            <b/>
            <u/>
            <sz val="10"/>
            <color indexed="14"/>
            <rFont val="Arial"/>
            <family val="2"/>
          </rPr>
          <t>ELECTRICIDAD</t>
        </r>
        <r>
          <rPr>
            <sz val="10"/>
            <color indexed="9"/>
            <rFont val="Arial"/>
            <family val="2"/>
          </rPr>
          <t xml:space="preserve"> de la planta del Beneficio.</t>
        </r>
      </text>
    </comment>
    <comment ref="E20" authorId="0" shapeId="0" xr:uid="{E75A9E2C-3318-43D4-A4E6-4DD8C554544E}">
      <text>
        <r>
          <rPr>
            <b/>
            <sz val="10"/>
            <color indexed="11"/>
            <rFont val="Arial"/>
            <family val="2"/>
          </rPr>
          <t>Porcentaje</t>
        </r>
        <r>
          <rPr>
            <sz val="10"/>
            <color indexed="9"/>
            <rFont val="Arial"/>
            <family val="2"/>
          </rPr>
          <t xml:space="preserve"> del Impuesto General sobre las Ventas pagado por el servicio eléctrico.
</t>
        </r>
        <r>
          <rPr>
            <b/>
            <sz val="10"/>
            <color indexed="14"/>
            <rFont val="Arial"/>
            <family val="2"/>
          </rPr>
          <t>¿CÓMO CALCULARLO?</t>
        </r>
        <r>
          <rPr>
            <sz val="10"/>
            <color indexed="9"/>
            <rFont val="Arial"/>
            <family val="2"/>
          </rPr>
          <t xml:space="preserve"> =&gt; de una factura eléctrica,  </t>
        </r>
        <r>
          <rPr>
            <b/>
            <u/>
            <sz val="10"/>
            <color indexed="11"/>
            <rFont val="Arial"/>
            <family val="2"/>
          </rPr>
          <t>divida</t>
        </r>
        <r>
          <rPr>
            <sz val="10"/>
            <color indexed="9"/>
            <rFont val="Arial"/>
            <family val="2"/>
          </rPr>
          <t xml:space="preserve"> el monto del </t>
        </r>
        <r>
          <rPr>
            <b/>
            <u/>
            <sz val="10"/>
            <color indexed="11"/>
            <rFont val="Arial"/>
            <family val="2"/>
          </rPr>
          <t>impuesto</t>
        </r>
        <r>
          <rPr>
            <sz val="10"/>
            <color indexed="9"/>
            <rFont val="Arial"/>
            <family val="2"/>
          </rPr>
          <t xml:space="preserve"> entre el monto acumulado de </t>
        </r>
        <r>
          <rPr>
            <b/>
            <u/>
            <sz val="10"/>
            <color indexed="14"/>
            <rFont val="Arial"/>
            <family val="2"/>
          </rPr>
          <t>energía</t>
        </r>
        <r>
          <rPr>
            <sz val="10"/>
            <color indexed="9"/>
            <rFont val="Arial"/>
            <family val="2"/>
          </rPr>
          <t xml:space="preserve"> y </t>
        </r>
        <r>
          <rPr>
            <b/>
            <u/>
            <sz val="10"/>
            <color indexed="14"/>
            <rFont val="Arial"/>
            <family val="2"/>
          </rPr>
          <t>demanda</t>
        </r>
        <r>
          <rPr>
            <sz val="10"/>
            <color indexed="9"/>
            <rFont val="Arial"/>
            <family val="2"/>
          </rPr>
          <t xml:space="preserve"> (debe incluir el costo variable por combustible CVC).</t>
        </r>
      </text>
    </comment>
    <comment ref="E22" authorId="0" shapeId="0" xr:uid="{7F404039-AEE4-42C2-9267-84242E87F423}">
      <text>
        <r>
          <rPr>
            <sz val="10"/>
            <color indexed="9"/>
            <rFont val="Arial"/>
            <family val="2"/>
          </rPr>
          <t xml:space="preserve">Digitar un código (1 a 5) según corresponda a la </t>
        </r>
        <r>
          <rPr>
            <b/>
            <u/>
            <sz val="10"/>
            <color indexed="11"/>
            <rFont val="Arial"/>
            <family val="2"/>
          </rPr>
          <t>ZONA</t>
        </r>
        <r>
          <rPr>
            <b/>
            <sz val="10"/>
            <color indexed="9"/>
            <rFont val="Arial"/>
            <family val="2"/>
          </rPr>
          <t xml:space="preserve"> </t>
        </r>
        <r>
          <rPr>
            <b/>
            <u/>
            <sz val="10"/>
            <color indexed="11"/>
            <rFont val="Arial"/>
            <family val="2"/>
          </rPr>
          <t>GEOGRÁFICA</t>
        </r>
        <r>
          <rPr>
            <sz val="10"/>
            <color indexed="9"/>
            <rFont val="Arial"/>
            <family val="2"/>
          </rPr>
          <t xml:space="preserve"> donde se ubica la planta principal del Beneficio.</t>
        </r>
      </text>
    </comment>
    <comment ref="E24" authorId="0" shapeId="0" xr:uid="{E980A175-DBBE-4470-8EA4-0AB5725D84C7}">
      <text>
        <r>
          <rPr>
            <sz val="10"/>
            <color indexed="9"/>
            <rFont val="Arial"/>
            <family val="2"/>
          </rPr>
          <t xml:space="preserve">Digitar la </t>
        </r>
        <r>
          <rPr>
            <b/>
            <u/>
            <sz val="10"/>
            <color indexed="14"/>
            <rFont val="Arial"/>
            <family val="2"/>
          </rPr>
          <t>DISTANCIA</t>
        </r>
        <r>
          <rPr>
            <sz val="10"/>
            <color indexed="9"/>
            <rFont val="Arial"/>
            <family val="2"/>
          </rPr>
          <t xml:space="preserve"> aproximada entre la </t>
        </r>
        <r>
          <rPr>
            <b/>
            <u/>
            <sz val="10"/>
            <color indexed="14"/>
            <rFont val="Arial"/>
            <family val="2"/>
          </rPr>
          <t>PLANTA</t>
        </r>
        <r>
          <rPr>
            <sz val="10"/>
            <color indexed="9"/>
            <rFont val="Arial"/>
            <family val="2"/>
          </rPr>
          <t xml:space="preserve"> del </t>
        </r>
        <r>
          <rPr>
            <b/>
            <u/>
            <sz val="10"/>
            <color indexed="14"/>
            <rFont val="Arial"/>
            <family val="2"/>
          </rPr>
          <t>BENEFICIO</t>
        </r>
        <r>
          <rPr>
            <sz val="10"/>
            <color indexed="9"/>
            <rFont val="Arial"/>
            <family val="2"/>
          </rPr>
          <t xml:space="preserve"> y el centro de  </t>
        </r>
        <r>
          <rPr>
            <b/>
            <u/>
            <sz val="10"/>
            <color indexed="14"/>
            <rFont val="Arial"/>
            <family val="2"/>
          </rPr>
          <t>SAN</t>
        </r>
        <r>
          <rPr>
            <sz val="10"/>
            <color indexed="9"/>
            <rFont val="Arial"/>
            <family val="2"/>
          </rPr>
          <t xml:space="preserve">  </t>
        </r>
        <r>
          <rPr>
            <b/>
            <u/>
            <sz val="10"/>
            <color indexed="14"/>
            <rFont val="Arial"/>
            <family val="2"/>
          </rPr>
          <t>JOSÉ</t>
        </r>
        <r>
          <rPr>
            <sz val="10"/>
            <color indexed="9"/>
            <rFont val="Arial"/>
            <family val="2"/>
          </rPr>
          <t>.  Es una distancia en kilómetros (km), representada por un número entero o decimal.</t>
        </r>
      </text>
    </comment>
    <comment ref="E28" authorId="0" shapeId="0" xr:uid="{9992F847-6CAA-495B-BAA0-3A952BCDE60D}">
      <text>
        <r>
          <rPr>
            <b/>
            <sz val="10"/>
            <color indexed="11"/>
            <rFont val="Arial"/>
            <family val="2"/>
          </rPr>
          <t xml:space="preserve">Porcentaje </t>
        </r>
        <r>
          <rPr>
            <sz val="10"/>
            <color indexed="9"/>
            <rFont val="Arial"/>
            <family val="2"/>
          </rPr>
          <t xml:space="preserve">de </t>
        </r>
        <r>
          <rPr>
            <b/>
            <sz val="10"/>
            <color indexed="11"/>
            <rFont val="Arial"/>
            <family val="2"/>
          </rPr>
          <t>LEY</t>
        </r>
        <r>
          <rPr>
            <sz val="10"/>
            <color indexed="9"/>
            <rFont val="Arial"/>
            <family val="2"/>
          </rPr>
          <t xml:space="preserve"> sobre el  salario pagado a:
</t>
        </r>
        <r>
          <rPr>
            <b/>
            <sz val="10"/>
            <color indexed="9"/>
            <rFont val="Arial"/>
            <family val="2"/>
          </rPr>
          <t xml:space="preserve">- La CCSS: 14.33%,
- Instituciones Autónomas: 7.25%.
- Operadoras de Pensiones: 4.75%,
- Aguinaldo (reserva): 8.33%
- Cesantía (reserva): 5.33%
- Seguro Riesgos Profesionales: 4.61%
</t>
        </r>
        <r>
          <rPr>
            <b/>
            <sz val="10"/>
            <color indexed="14"/>
            <rFont val="Arial"/>
            <family val="2"/>
          </rPr>
          <t>DATOS REALES DEL BENEFICIO:</t>
        </r>
        <r>
          <rPr>
            <sz val="10"/>
            <color indexed="9"/>
            <rFont val="Arial"/>
            <family val="2"/>
          </rPr>
          <t xml:space="preserve">  el porcentaje se calcula </t>
        </r>
        <r>
          <rPr>
            <b/>
            <u/>
            <sz val="10"/>
            <color indexed="14"/>
            <rFont val="Arial"/>
            <family val="2"/>
          </rPr>
          <t>dividiendo</t>
        </r>
        <r>
          <rPr>
            <sz val="10"/>
            <color indexed="9"/>
            <rFont val="Arial"/>
            <family val="2"/>
          </rPr>
          <t xml:space="preserve"> los pagos anuales en </t>
        </r>
        <r>
          <rPr>
            <b/>
            <u/>
            <sz val="10"/>
            <color indexed="14"/>
            <rFont val="Arial"/>
            <family val="2"/>
          </rPr>
          <t>cargas patronales</t>
        </r>
        <r>
          <rPr>
            <sz val="10"/>
            <color indexed="9"/>
            <rFont val="Arial"/>
            <family val="2"/>
          </rPr>
          <t xml:space="preserve"> entre los </t>
        </r>
        <r>
          <rPr>
            <b/>
            <u/>
            <sz val="10"/>
            <color indexed="14"/>
            <rFont val="Arial"/>
            <family val="2"/>
          </rPr>
          <t>salarios</t>
        </r>
        <r>
          <rPr>
            <sz val="10"/>
            <color indexed="9"/>
            <rFont val="Arial"/>
            <family val="2"/>
          </rPr>
          <t xml:space="preserve"> pagados.</t>
        </r>
      </text>
    </comment>
    <comment ref="E32" authorId="0" shapeId="0" xr:uid="{EF905439-DAC9-4846-A36D-ACC1DD7EF8DA}">
      <text>
        <r>
          <rPr>
            <sz val="10"/>
            <color indexed="9"/>
            <rFont val="Arial"/>
            <family val="2"/>
          </rPr>
          <t xml:space="preserve">Digitar el </t>
        </r>
        <r>
          <rPr>
            <b/>
            <u/>
            <sz val="10"/>
            <color indexed="9"/>
            <rFont val="Arial"/>
            <family val="2"/>
          </rPr>
          <t>valor</t>
        </r>
        <r>
          <rPr>
            <sz val="10"/>
            <color indexed="9"/>
            <rFont val="Arial"/>
            <family val="2"/>
          </rPr>
          <t xml:space="preserve"> </t>
        </r>
        <r>
          <rPr>
            <b/>
            <u/>
            <sz val="10"/>
            <color indexed="9"/>
            <rFont val="Arial"/>
            <family val="2"/>
          </rPr>
          <t>promedio</t>
        </r>
        <r>
          <rPr>
            <sz val="10"/>
            <color indexed="9"/>
            <rFont val="Arial"/>
            <family val="2"/>
          </rPr>
          <t xml:space="preserve"> </t>
        </r>
        <r>
          <rPr>
            <b/>
            <u/>
            <sz val="10"/>
            <color indexed="14"/>
            <rFont val="Arial"/>
            <family val="2"/>
          </rPr>
          <t>ASEGURADO</t>
        </r>
        <r>
          <rPr>
            <sz val="10"/>
            <color indexed="9"/>
            <rFont val="Arial"/>
            <family val="2"/>
          </rPr>
          <t xml:space="preserve"> por la </t>
        </r>
        <r>
          <rPr>
            <b/>
            <u/>
            <sz val="10"/>
            <color indexed="14"/>
            <rFont val="Arial"/>
            <family val="2"/>
          </rPr>
          <t>MERCADERÍA</t>
        </r>
        <r>
          <rPr>
            <sz val="10"/>
            <color indexed="9"/>
            <rFont val="Arial"/>
            <family val="2"/>
          </rPr>
          <t xml:space="preserve"> de </t>
        </r>
        <r>
          <rPr>
            <b/>
            <u/>
            <sz val="10"/>
            <color indexed="14"/>
            <rFont val="Arial"/>
            <family val="2"/>
          </rPr>
          <t>CAFÉ</t>
        </r>
        <r>
          <rPr>
            <sz val="10"/>
            <color indexed="9"/>
            <rFont val="Arial"/>
            <family val="2"/>
          </rPr>
          <t xml:space="preserve"> durante el año, en colones por fanega (CRC/fan).
Digitar un 0 (cero) si </t>
        </r>
        <r>
          <rPr>
            <b/>
            <u/>
            <sz val="10"/>
            <color indexed="11"/>
            <rFont val="Arial"/>
            <family val="2"/>
          </rPr>
          <t>NO TIENE</t>
        </r>
        <r>
          <rPr>
            <sz val="10"/>
            <color indexed="9"/>
            <rFont val="Arial"/>
            <family val="2"/>
          </rPr>
          <t xml:space="preserve"> esta póliza, o sino asegura la mercadería de café.</t>
        </r>
      </text>
    </comment>
    <comment ref="E36" authorId="0" shapeId="0" xr:uid="{7346EC87-4E29-4114-B9F5-BBF558D1F5B4}">
      <text>
        <r>
          <rPr>
            <sz val="10"/>
            <color indexed="9"/>
            <rFont val="Arial"/>
            <family val="2"/>
          </rPr>
          <t xml:space="preserve">Digitar el </t>
        </r>
        <r>
          <rPr>
            <b/>
            <u/>
            <sz val="10"/>
            <color indexed="9"/>
            <rFont val="Arial"/>
            <family val="2"/>
          </rPr>
          <t>valor</t>
        </r>
        <r>
          <rPr>
            <sz val="10"/>
            <color indexed="9"/>
            <rFont val="Arial"/>
            <family val="2"/>
          </rPr>
          <t xml:space="preserve"> </t>
        </r>
        <r>
          <rPr>
            <b/>
            <u/>
            <sz val="10"/>
            <color indexed="9"/>
            <rFont val="Arial"/>
            <family val="2"/>
          </rPr>
          <t>promedio</t>
        </r>
        <r>
          <rPr>
            <sz val="10"/>
            <color indexed="9"/>
            <rFont val="Arial"/>
            <family val="2"/>
          </rPr>
          <t xml:space="preserve"> </t>
        </r>
        <r>
          <rPr>
            <b/>
            <u/>
            <sz val="10"/>
            <color indexed="14"/>
            <rFont val="Arial"/>
            <family val="2"/>
          </rPr>
          <t>ASEGURADO</t>
        </r>
        <r>
          <rPr>
            <sz val="10"/>
            <color indexed="9"/>
            <rFont val="Arial"/>
            <family val="2"/>
          </rPr>
          <t xml:space="preserve"> por </t>
        </r>
        <r>
          <rPr>
            <b/>
            <u/>
            <sz val="10"/>
            <color indexed="14"/>
            <rFont val="Arial"/>
            <family val="2"/>
          </rPr>
          <t>TRANSPORTE</t>
        </r>
        <r>
          <rPr>
            <sz val="10"/>
            <color indexed="9"/>
            <rFont val="Arial"/>
            <family val="2"/>
          </rPr>
          <t xml:space="preserve"> de </t>
        </r>
        <r>
          <rPr>
            <b/>
            <u/>
            <sz val="10"/>
            <color indexed="14"/>
            <rFont val="Arial"/>
            <family val="2"/>
          </rPr>
          <t>CAFÉ</t>
        </r>
        <r>
          <rPr>
            <sz val="10"/>
            <color indexed="9"/>
            <rFont val="Arial"/>
            <family val="2"/>
          </rPr>
          <t xml:space="preserve"> durante el año, en colones por fanega (CRC/fan).
Digitar un 0 (cero) si </t>
        </r>
        <r>
          <rPr>
            <b/>
            <u/>
            <sz val="10"/>
            <color indexed="11"/>
            <rFont val="Arial"/>
            <family val="2"/>
          </rPr>
          <t>NO TIENE</t>
        </r>
        <r>
          <rPr>
            <sz val="10"/>
            <color indexed="9"/>
            <rFont val="Arial"/>
            <family val="2"/>
          </rPr>
          <t xml:space="preserve"> esta póliza.</t>
        </r>
      </text>
    </comment>
    <comment ref="E40" authorId="0" shapeId="0" xr:uid="{F7B374E0-F569-445C-BC6C-6137660DB08B}">
      <text>
        <r>
          <rPr>
            <sz val="10"/>
            <color indexed="9"/>
            <rFont val="Arial"/>
            <family val="2"/>
          </rPr>
          <t xml:space="preserve">Digitar un código (1 a 4) según corresponda al </t>
        </r>
        <r>
          <rPr>
            <b/>
            <u/>
            <sz val="10"/>
            <color indexed="51"/>
            <rFont val="Arial"/>
            <family val="2"/>
          </rPr>
          <t>Sistema</t>
        </r>
        <r>
          <rPr>
            <sz val="10"/>
            <color indexed="9"/>
            <rFont val="Arial"/>
            <family val="2"/>
          </rPr>
          <t xml:space="preserve"> </t>
        </r>
        <r>
          <rPr>
            <b/>
            <u/>
            <sz val="10"/>
            <color indexed="51"/>
            <rFont val="Arial"/>
            <family val="2"/>
          </rPr>
          <t>Secundario</t>
        </r>
        <r>
          <rPr>
            <sz val="10"/>
            <color indexed="9"/>
            <rFont val="Arial"/>
            <family val="2"/>
          </rPr>
          <t xml:space="preserve"> de </t>
        </r>
        <r>
          <rPr>
            <b/>
            <u/>
            <sz val="10"/>
            <color indexed="51"/>
            <rFont val="Arial"/>
            <family val="2"/>
          </rPr>
          <t>Tratamiento</t>
        </r>
        <r>
          <rPr>
            <sz val="10"/>
            <color indexed="9"/>
            <rFont val="Arial"/>
            <family val="2"/>
          </rPr>
          <t xml:space="preserve"> de </t>
        </r>
        <r>
          <rPr>
            <b/>
            <u/>
            <sz val="10"/>
            <color indexed="51"/>
            <rFont val="Arial"/>
            <family val="2"/>
          </rPr>
          <t>Aguas</t>
        </r>
        <r>
          <rPr>
            <sz val="10"/>
            <color indexed="9"/>
            <rFont val="Arial"/>
            <family val="2"/>
          </rPr>
          <t xml:space="preserve"> </t>
        </r>
        <r>
          <rPr>
            <b/>
            <u/>
            <sz val="10"/>
            <color indexed="51"/>
            <rFont val="Arial"/>
            <family val="2"/>
          </rPr>
          <t>Residuales</t>
        </r>
        <r>
          <rPr>
            <sz val="10"/>
            <color indexed="9"/>
            <rFont val="Arial"/>
            <family val="2"/>
          </rPr>
          <t xml:space="preserve"> que disponga la planta del Beneficio.</t>
        </r>
      </text>
    </comment>
    <comment ref="E44" authorId="0" shapeId="0" xr:uid="{71D5F378-8875-47B9-8494-BC53E736762E}">
      <text>
        <r>
          <rPr>
            <sz val="10"/>
            <color indexed="9"/>
            <rFont val="Arial"/>
            <family val="2"/>
          </rPr>
          <t xml:space="preserve">Digitar la </t>
        </r>
        <r>
          <rPr>
            <b/>
            <u/>
            <sz val="10"/>
            <color indexed="14"/>
            <rFont val="Arial"/>
            <family val="2"/>
          </rPr>
          <t>DISTANCIA</t>
        </r>
        <r>
          <rPr>
            <sz val="10"/>
            <color indexed="9"/>
            <rFont val="Arial"/>
            <family val="2"/>
          </rPr>
          <t xml:space="preserve"> aproximada de </t>
        </r>
        <r>
          <rPr>
            <b/>
            <u/>
            <sz val="10"/>
            <color indexed="14"/>
            <rFont val="Arial"/>
            <family val="2"/>
          </rPr>
          <t>RECORRIDO</t>
        </r>
        <r>
          <rPr>
            <sz val="10"/>
            <color indexed="9"/>
            <rFont val="Arial"/>
            <family val="2"/>
          </rPr>
          <t xml:space="preserve"> entre la </t>
        </r>
        <r>
          <rPr>
            <b/>
            <u/>
            <sz val="10"/>
            <color indexed="14"/>
            <rFont val="Arial"/>
            <family val="2"/>
          </rPr>
          <t>PLANTA</t>
        </r>
        <r>
          <rPr>
            <sz val="10"/>
            <color indexed="9"/>
            <rFont val="Arial"/>
            <family val="2"/>
          </rPr>
          <t xml:space="preserve"> del </t>
        </r>
        <r>
          <rPr>
            <b/>
            <u/>
            <sz val="10"/>
            <color indexed="14"/>
            <rFont val="Arial"/>
            <family val="2"/>
          </rPr>
          <t>BENEFICIO</t>
        </r>
        <r>
          <rPr>
            <sz val="10"/>
            <color indexed="9"/>
            <rFont val="Arial"/>
            <family val="2"/>
          </rPr>
          <t xml:space="preserve"> y el </t>
        </r>
        <r>
          <rPr>
            <b/>
            <u/>
            <sz val="10"/>
            <color indexed="14"/>
            <rFont val="Arial"/>
            <family val="2"/>
          </rPr>
          <t>BROCERO</t>
        </r>
        <r>
          <rPr>
            <sz val="10"/>
            <color indexed="9"/>
            <rFont val="Arial"/>
            <family val="2"/>
          </rPr>
          <t xml:space="preserve"> (destino final de la broza).   Es una distancia en kilómetros (km), representada por un número entero o decimal.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Marco Araya Molina</author>
  </authors>
  <commentList>
    <comment ref="M7" authorId="0" shapeId="0" xr:uid="{E9401B63-DDA1-4200-904A-D6E4CC5FD08C}">
      <text>
        <r>
          <rPr>
            <b/>
            <sz val="9"/>
            <color indexed="81"/>
            <rFont val="Tahoma"/>
            <family val="2"/>
          </rPr>
          <t>Marco Araya Molina:</t>
        </r>
        <r>
          <rPr>
            <sz val="9"/>
            <color indexed="81"/>
            <rFont val="Tahoma"/>
            <family val="2"/>
          </rPr>
          <t xml:space="preserve">
Basado en el cálculo de 75 qq (microlote).</t>
        </r>
      </text>
    </comment>
    <comment ref="L13" authorId="0" shapeId="0" xr:uid="{4E29DB15-48F8-48D8-85A4-B63C54B76EBC}">
      <text>
        <r>
          <rPr>
            <b/>
            <sz val="9"/>
            <color indexed="81"/>
            <rFont val="Tahoma"/>
            <family val="2"/>
          </rPr>
          <t>Marco Araya Molina:</t>
        </r>
        <r>
          <rPr>
            <sz val="9"/>
            <color indexed="81"/>
            <rFont val="Tahoma"/>
            <family val="2"/>
          </rPr>
          <t xml:space="preserve">
Basado en pliegos tarifarios.  La energía y demanda cobrada de más, fue considerada en el cálculo de los coeficientes.</t>
        </r>
      </text>
    </comment>
    <comment ref="L17" authorId="0" shapeId="0" xr:uid="{7B32DF1B-2C54-42B3-8B64-F4DF97A73DA6}">
      <text>
        <r>
          <rPr>
            <b/>
            <sz val="9"/>
            <color indexed="81"/>
            <rFont val="Tahoma"/>
            <family val="2"/>
          </rPr>
          <t>Marco Araya Molina:</t>
        </r>
        <r>
          <rPr>
            <sz val="9"/>
            <color indexed="81"/>
            <rFont val="Tahoma"/>
            <family val="2"/>
          </rPr>
          <t xml:space="preserve">
Basado en pliegos tarifarios.  La energía y demanda cobrada de más, fue considerada en el cálculo de los coeficientes.</t>
        </r>
      </text>
    </comment>
    <comment ref="M28" authorId="0" shapeId="0" xr:uid="{B88CE446-F7B9-4E55-BDAC-ACBFB4A4A4CF}">
      <text>
        <r>
          <rPr>
            <b/>
            <sz val="9"/>
            <color indexed="81"/>
            <rFont val="Tahoma"/>
            <family val="2"/>
          </rPr>
          <t>Marco Araya Molina:</t>
        </r>
        <r>
          <rPr>
            <sz val="9"/>
            <color indexed="81"/>
            <rFont val="Tahoma"/>
            <family val="2"/>
          </rPr>
          <t xml:space="preserve">
Basado en el cálculo de 75 qq (microlote).</t>
        </r>
      </text>
    </comment>
    <comment ref="M32" authorId="0" shapeId="0" xr:uid="{CABEE0CE-D624-4962-9C4A-FEB9C78E8DDA}">
      <text>
        <r>
          <rPr>
            <b/>
            <sz val="9"/>
            <color indexed="81"/>
            <rFont val="Tahoma"/>
            <family val="2"/>
          </rPr>
          <t>Marco Araya Molina:</t>
        </r>
        <r>
          <rPr>
            <sz val="9"/>
            <color indexed="81"/>
            <rFont val="Tahoma"/>
            <family val="2"/>
          </rPr>
          <t xml:space="preserve">
Basado en el cálculo de 75 sacos 46 kg</t>
        </r>
      </text>
    </comment>
    <comment ref="M35" authorId="0" shapeId="0" xr:uid="{3973680D-CB6D-45A2-A744-2C8E2CC5F6DE}">
      <text>
        <r>
          <rPr>
            <b/>
            <sz val="9"/>
            <color indexed="81"/>
            <rFont val="Tahoma"/>
            <family val="2"/>
          </rPr>
          <t>Marco Araya Molina:</t>
        </r>
        <r>
          <rPr>
            <sz val="9"/>
            <color indexed="81"/>
            <rFont val="Tahoma"/>
            <family val="2"/>
          </rPr>
          <t xml:space="preserve">
Basado en el cálculo de 75 sacos 46 kg</t>
        </r>
      </text>
    </comment>
    <comment ref="M40" authorId="0" shapeId="0" xr:uid="{6757F248-1FB3-4261-BB99-5D3A0A57277D}">
      <text>
        <r>
          <rPr>
            <b/>
            <sz val="9"/>
            <color indexed="81"/>
            <rFont val="Tahoma"/>
            <family val="2"/>
          </rPr>
          <t>Marco Araya Molina:</t>
        </r>
        <r>
          <rPr>
            <sz val="9"/>
            <color indexed="81"/>
            <rFont val="Tahoma"/>
            <family val="2"/>
          </rPr>
          <t xml:space="preserve">
Se limita la valoración excesiva del café para asegurar, analizando datos de campo y precio de exportación.</t>
        </r>
      </text>
    </comment>
    <comment ref="M41" authorId="0" shapeId="0" xr:uid="{49EAF343-D1C7-4919-8E04-FF3CFB3C07CF}">
      <text>
        <r>
          <rPr>
            <b/>
            <sz val="9"/>
            <color indexed="81"/>
            <rFont val="Tahoma"/>
            <family val="2"/>
          </rPr>
          <t>Marco Araya Molina:</t>
        </r>
        <r>
          <rPr>
            <sz val="9"/>
            <color indexed="81"/>
            <rFont val="Tahoma"/>
            <family val="2"/>
          </rPr>
          <t xml:space="preserve">
Se usa como base el valor máximo considerado para el Seg-INC.</t>
        </r>
      </text>
    </comment>
    <comment ref="M43" authorId="0" shapeId="0" xr:uid="{6950C888-E40A-4AFD-A52B-643C48E1F4AF}">
      <text>
        <r>
          <rPr>
            <b/>
            <sz val="9"/>
            <color indexed="81"/>
            <rFont val="Tahoma"/>
            <family val="2"/>
          </rPr>
          <t>Marco Araya Molina:</t>
        </r>
        <r>
          <rPr>
            <sz val="9"/>
            <color indexed="81"/>
            <rFont val="Tahoma"/>
            <family val="2"/>
          </rPr>
          <t xml:space="preserve">
Correspondiente a 1 m3 por fanega.</t>
        </r>
      </text>
    </comment>
    <comment ref="M45" authorId="0" shapeId="0" xr:uid="{63F665F6-1CBB-4E72-90F5-27BEE74A1263}">
      <text>
        <r>
          <rPr>
            <b/>
            <sz val="9"/>
            <color indexed="81"/>
            <rFont val="Tahoma"/>
            <family val="2"/>
          </rPr>
          <t>Marco Araya Molina:</t>
        </r>
        <r>
          <rPr>
            <sz val="9"/>
            <color indexed="81"/>
            <rFont val="Tahoma"/>
            <family val="2"/>
          </rPr>
          <t xml:space="preserve">
Basado en el cálculo de 75 sacos 46 kg</t>
        </r>
      </text>
    </comment>
    <comment ref="L48" authorId="0" shapeId="0" xr:uid="{B45BD47A-B8D8-4E45-917B-652206E649FE}">
      <text>
        <r>
          <rPr>
            <b/>
            <sz val="9"/>
            <color indexed="81"/>
            <rFont val="Tahoma"/>
            <family val="2"/>
          </rPr>
          <t>Marco Araya Molina:</t>
        </r>
        <r>
          <rPr>
            <sz val="9"/>
            <color indexed="81"/>
            <rFont val="Tahoma"/>
            <family val="2"/>
          </rPr>
          <t xml:space="preserve">
Gasto promedio en insumos y tratamiento.</t>
        </r>
      </text>
    </comment>
  </commentList>
</comments>
</file>

<file path=xl/sharedStrings.xml><?xml version="1.0" encoding="utf-8"?>
<sst xmlns="http://schemas.openxmlformats.org/spreadsheetml/2006/main" count="383" uniqueCount="179">
  <si>
    <t>ESTRUCTURA DE COSTOS DE BENEFICIADO DE CAFÉ ACEPTADOS POR LEY</t>
  </si>
  <si>
    <t>Coeficiente Técnico</t>
  </si>
  <si>
    <t>Unidad</t>
  </si>
  <si>
    <t>Costo Unitario</t>
  </si>
  <si>
    <t>Costo Total</t>
  </si>
  <si>
    <t>Rubros de Costo</t>
  </si>
  <si>
    <t>unid./46 kg</t>
  </si>
  <si>
    <t>Técnica</t>
  </si>
  <si>
    <t>Costo</t>
  </si>
  <si>
    <t>Part.</t>
  </si>
  <si>
    <t>Planillas de patio y maquinaria</t>
  </si>
  <si>
    <t>Peones y Operarios</t>
  </si>
  <si>
    <t>hh/46 kg</t>
  </si>
  <si>
    <t>Beneficiador y Asistente</t>
  </si>
  <si>
    <t>-</t>
  </si>
  <si>
    <t>Cuotas patronales</t>
  </si>
  <si>
    <t>%</t>
  </si>
  <si>
    <t>Energéticos</t>
  </si>
  <si>
    <t>Electricidad</t>
  </si>
  <si>
    <t>Energía</t>
  </si>
  <si>
    <t>kWh/46 kg</t>
  </si>
  <si>
    <t>Máxima Demanda</t>
  </si>
  <si>
    <t>kW/46 kg</t>
  </si>
  <si>
    <t>Otros Cargos</t>
  </si>
  <si>
    <t>Impuesto de Venta</t>
  </si>
  <si>
    <t>Combustibles y lubricantes</t>
  </si>
  <si>
    <t>Combustible (leña)</t>
  </si>
  <si>
    <t>Hidrocarburos</t>
  </si>
  <si>
    <t>Materiales</t>
  </si>
  <si>
    <t>Sacos para Exportación</t>
  </si>
  <si>
    <t>Sacos para Consumo Nacional</t>
  </si>
  <si>
    <t>Cáñamo, brochas y tintas</t>
  </si>
  <si>
    <t>Preparac.de café (Beneficios S.)</t>
  </si>
  <si>
    <t>Transporte de café beneficiado</t>
  </si>
  <si>
    <t>Tasas e impuestos pagados</t>
  </si>
  <si>
    <t>Canon de aprovechamiento agua</t>
  </si>
  <si>
    <t>Impuestos municipales</t>
  </si>
  <si>
    <t>Tratamiento de aguas y desechos</t>
  </si>
  <si>
    <t>Tratamiento de aguas residuales</t>
  </si>
  <si>
    <t>Transp.y tratamiento de broza</t>
  </si>
  <si>
    <t>Fuente: Instituto del Café de Costa Rica (ICAFE) - Unidad de Estudios Económicos y Mercado (UEEM).</t>
  </si>
  <si>
    <r>
      <t>m</t>
    </r>
    <r>
      <rPr>
        <vertAlign val="superscript"/>
        <sz val="10"/>
        <rFont val="Arial"/>
        <family val="2"/>
      </rPr>
      <t>3</t>
    </r>
    <r>
      <rPr>
        <sz val="10"/>
        <rFont val="Arial"/>
        <family val="2"/>
      </rPr>
      <t>/46 kg</t>
    </r>
  </si>
  <si>
    <t>Seguros del café</t>
  </si>
  <si>
    <t>Seguros de Incendio</t>
  </si>
  <si>
    <t>Seg. Transporte Interno</t>
  </si>
  <si>
    <t>Nombre de la Firma:</t>
  </si>
  <si>
    <t>CARACTERIZACIÓN DEL BENEFICIO</t>
  </si>
  <si>
    <t>Ubicación de la Planta</t>
  </si>
  <si>
    <t>Zona</t>
  </si>
  <si>
    <t>Coef.Técn.</t>
  </si>
  <si>
    <t>Cost.Gral.</t>
  </si>
  <si>
    <t>Zonas</t>
  </si>
  <si>
    <t>Cost.Unit</t>
  </si>
  <si>
    <t>m3/46 kg</t>
  </si>
  <si>
    <t>Cost.Unit.</t>
  </si>
  <si>
    <t>Nacional</t>
  </si>
  <si>
    <t>Seg.Transp.</t>
  </si>
  <si>
    <t>&lt; 1</t>
  </si>
  <si>
    <t>Proveedor-Electricidad</t>
  </si>
  <si>
    <t>Volumen</t>
  </si>
  <si>
    <t>Electric.</t>
  </si>
  <si>
    <t xml:space="preserve">Distancia recorrida con la Broza desde el Beneficio hasta el Brocero </t>
  </si>
  <si>
    <t>Cuotas Patronales:</t>
  </si>
  <si>
    <t>Impuesto s/las Ventas</t>
  </si>
  <si>
    <t>Sistema Secundario de Tratamiento de Aguas Residuales (SSTAR)</t>
  </si>
  <si>
    <t>Leña</t>
  </si>
  <si>
    <t>CRC/unid.</t>
  </si>
  <si>
    <t>CRC/46 kg</t>
  </si>
  <si>
    <t>CRC/hh</t>
  </si>
  <si>
    <t>CRC/kWh</t>
  </si>
  <si>
    <t>CRC/kW</t>
  </si>
  <si>
    <r>
      <t>CRC/m</t>
    </r>
    <r>
      <rPr>
        <vertAlign val="superscript"/>
        <sz val="10"/>
        <rFont val="Arial"/>
        <family val="2"/>
      </rPr>
      <t>3</t>
    </r>
  </si>
  <si>
    <t>CRC/sac.</t>
  </si>
  <si>
    <t>CRC/kg</t>
  </si>
  <si>
    <t>sac./46 kg</t>
  </si>
  <si>
    <t>CRC/m3</t>
  </si>
  <si>
    <t>C.Soc., Garant. y Seg.R.T.</t>
  </si>
  <si>
    <t>Distancia a San José (km)</t>
  </si>
  <si>
    <t>Cargas Soc.</t>
  </si>
  <si>
    <t>Imp.Ventas</t>
  </si>
  <si>
    <t>Constantes de Ecuación</t>
  </si>
  <si>
    <t>Acotado</t>
  </si>
  <si>
    <t>Rubro</t>
  </si>
  <si>
    <t>Elemento</t>
  </si>
  <si>
    <t>Ecuación</t>
  </si>
  <si>
    <t>a</t>
  </si>
  <si>
    <t>b</t>
  </si>
  <si>
    <t>c</t>
  </si>
  <si>
    <t>Mín</t>
  </si>
  <si>
    <t>Máx</t>
  </si>
  <si>
    <t>Planillas</t>
  </si>
  <si>
    <t>Peones y</t>
  </si>
  <si>
    <r>
      <t>CT = a (fan)</t>
    </r>
    <r>
      <rPr>
        <vertAlign val="superscript"/>
        <sz val="10"/>
        <rFont val="Courier"/>
        <family val="3"/>
      </rPr>
      <t>b</t>
    </r>
  </si>
  <si>
    <t>Operarios</t>
  </si>
  <si>
    <t>Estratos (volumen)</t>
  </si>
  <si>
    <t>Ver detalle abajo</t>
  </si>
  <si>
    <t>Administ.</t>
  </si>
  <si>
    <r>
      <t>CG = a (fan)</t>
    </r>
    <r>
      <rPr>
        <vertAlign val="superscript"/>
        <sz val="10"/>
        <rFont val="Courier"/>
        <family val="3"/>
      </rPr>
      <t>b</t>
    </r>
  </si>
  <si>
    <t>Porcent.</t>
  </si>
  <si>
    <t>Nacional (promedio)</t>
  </si>
  <si>
    <t>CT = a + b Ln(fan)</t>
  </si>
  <si>
    <t>CU ICE</t>
  </si>
  <si>
    <r>
      <t>CU = a (fan)</t>
    </r>
    <r>
      <rPr>
        <vertAlign val="superscript"/>
        <sz val="10"/>
        <rFont val="Courier"/>
        <family val="3"/>
      </rPr>
      <t>b</t>
    </r>
  </si>
  <si>
    <t>CU Otros</t>
  </si>
  <si>
    <t>CU C-Sant</t>
  </si>
  <si>
    <t>Demanda</t>
  </si>
  <si>
    <t>O-Cargos</t>
  </si>
  <si>
    <t>Combust.&amp; Lubrican.</t>
  </si>
  <si>
    <r>
      <t>m</t>
    </r>
    <r>
      <rPr>
        <vertAlign val="superscript"/>
        <sz val="10"/>
        <rFont val="Courier"/>
        <family val="3"/>
      </rPr>
      <t>3</t>
    </r>
    <r>
      <rPr>
        <sz val="10"/>
        <rFont val="Courier"/>
        <family val="3"/>
      </rPr>
      <t>/46 kg</t>
    </r>
  </si>
  <si>
    <t>Estratos (Zonas)</t>
  </si>
  <si>
    <r>
      <t>CRC/m</t>
    </r>
    <r>
      <rPr>
        <vertAlign val="superscript"/>
        <sz val="10"/>
        <rFont val="Courier"/>
        <family val="3"/>
      </rPr>
      <t>3</t>
    </r>
  </si>
  <si>
    <t>Hidrocarb.</t>
  </si>
  <si>
    <t>Sacos</t>
  </si>
  <si>
    <t>Exportac.</t>
  </si>
  <si>
    <t>Sac/46 kg</t>
  </si>
  <si>
    <t>Individual</t>
  </si>
  <si>
    <t>Análisis de Ventas</t>
  </si>
  <si>
    <t>CRC/Sac</t>
  </si>
  <si>
    <t>Consumo</t>
  </si>
  <si>
    <t>Cáñamo</t>
  </si>
  <si>
    <t>C.B.&amp;T.</t>
  </si>
  <si>
    <t>Preparac.</t>
  </si>
  <si>
    <t>Prep.de Café</t>
  </si>
  <si>
    <t>%/46 kg</t>
  </si>
  <si>
    <t>o Escogida</t>
  </si>
  <si>
    <t>Transp.</t>
  </si>
  <si>
    <t>Trans.Oro</t>
  </si>
  <si>
    <t>Seguros de Café</t>
  </si>
  <si>
    <t>Seguro de Incendio</t>
  </si>
  <si>
    <t>Tasas e Impuestos</t>
  </si>
  <si>
    <t>Cánones de Agua</t>
  </si>
  <si>
    <t>Impuestos</t>
  </si>
  <si>
    <t>Tratam.de</t>
  </si>
  <si>
    <t>Aguas Res.</t>
  </si>
  <si>
    <t>Estratos (SSTAR)</t>
  </si>
  <si>
    <t>Desechos</t>
  </si>
  <si>
    <t>T&amp;T Broza</t>
  </si>
  <si>
    <t>- Peones y Operarios</t>
  </si>
  <si>
    <t>(000 Fan)</t>
  </si>
  <si>
    <t>- Leña</t>
  </si>
  <si>
    <t>VC&amp;VO</t>
  </si>
  <si>
    <t>T,P&amp;Sarap.</t>
  </si>
  <si>
    <t>Zona Sur</t>
  </si>
  <si>
    <t>Guan&amp;Punt</t>
  </si>
  <si>
    <t>L.Santos</t>
  </si>
  <si>
    <t>- Seguro de Incendio</t>
  </si>
  <si>
    <t>Tratamiento de Desechos</t>
  </si>
  <si>
    <t>- Aguas Residuales</t>
  </si>
  <si>
    <t>SSTAR</t>
  </si>
  <si>
    <t>Asp.Pasto &amp; Lag.+Asp.</t>
  </si>
  <si>
    <t>Lag. Anaerobicas</t>
  </si>
  <si>
    <t>React. Anaeróbicos</t>
  </si>
  <si>
    <t>Seguro Incendio de Café*</t>
  </si>
  <si>
    <t>Valor Promedio Asegurado</t>
  </si>
  <si>
    <t>*/ Válido sólo si asegura la mercadería.</t>
  </si>
  <si>
    <t>Café Fruta (fanegas)</t>
  </si>
  <si>
    <t>&gt;= 1 ; &lt; 3</t>
  </si>
  <si>
    <t>&gt;= 3 ; &lt; 6</t>
  </si>
  <si>
    <t>&gt;= 6 ; &lt; 20</t>
  </si>
  <si>
    <t>&gt;= 20 ; &lt; 60</t>
  </si>
  <si>
    <t>&gt;= 60</t>
  </si>
  <si>
    <t>Seguro Transporte Interior*</t>
  </si>
  <si>
    <t xml:space="preserve">Ventas Exportación </t>
  </si>
  <si>
    <t>Porcentaje</t>
  </si>
  <si>
    <t>Producción y Rendimiento:</t>
  </si>
  <si>
    <t>Comercialización:</t>
  </si>
  <si>
    <t>Rend.Beneficiado (kg/fan)</t>
  </si>
  <si>
    <t xml:space="preserve"> Rend.Benef. (lb/fan)</t>
  </si>
  <si>
    <t xml:space="preserve"> Café Oro (46 kg)</t>
  </si>
  <si>
    <r>
      <t xml:space="preserve">*/ Valor asegurado por </t>
    </r>
    <r>
      <rPr>
        <u/>
        <sz val="8"/>
        <rFont val="Arial"/>
        <family val="2"/>
      </rPr>
      <t>mercadería</t>
    </r>
    <r>
      <rPr>
        <sz val="8"/>
        <rFont val="Arial"/>
        <family val="2"/>
      </rPr>
      <t xml:space="preserve"> (CRC/fan).</t>
    </r>
  </si>
  <si>
    <t>CG = a + b Ln(D-Broza)</t>
  </si>
  <si>
    <t>BASE DE DATOS PARA LA ASIGNACIÓN DE COSTOS PROMEDIO</t>
  </si>
  <si>
    <t>EL GRANO DE CAFÉ MÁS ECOLÓGICO</t>
  </si>
  <si>
    <r>
      <t>CU = a (fan)</t>
    </r>
    <r>
      <rPr>
        <vertAlign val="superscript"/>
        <sz val="10"/>
        <rFont val="Courier"/>
        <family val="3"/>
      </rPr>
      <t>b</t>
    </r>
  </si>
  <si>
    <r>
      <t>CG = a (fan)</t>
    </r>
    <r>
      <rPr>
        <vertAlign val="superscript"/>
        <sz val="10"/>
        <rFont val="Courier"/>
        <family val="3"/>
      </rPr>
      <t>b</t>
    </r>
  </si>
  <si>
    <r>
      <t>CU = a (VA)</t>
    </r>
    <r>
      <rPr>
        <vertAlign val="superscript"/>
        <sz val="10"/>
        <rFont val="Courier"/>
        <family val="3"/>
      </rPr>
      <t>b</t>
    </r>
  </si>
  <si>
    <r>
      <t>CG = a (VA)</t>
    </r>
    <r>
      <rPr>
        <vertAlign val="superscript"/>
        <sz val="10"/>
        <rFont val="Courier"/>
        <family val="3"/>
      </rPr>
      <t>b</t>
    </r>
  </si>
  <si>
    <r>
      <t>CT = a (fan)</t>
    </r>
    <r>
      <rPr>
        <vertAlign val="superscript"/>
        <sz val="10"/>
        <rFont val="Courier"/>
        <family val="3"/>
      </rPr>
      <t>b</t>
    </r>
  </si>
  <si>
    <t>COSECHA 2018-2019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</si>
</sst>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0.0%"/>
    <numFmt numFmtId="165" formatCode="#,##0.00000"/>
    <numFmt numFmtId="166" formatCode="#,##0.000"/>
    <numFmt numFmtId="167" formatCode="#,##0.0000"/>
    <numFmt numFmtId="168" formatCode="0.0000"/>
    <numFmt numFmtId="169" formatCode="0.000"/>
    <numFmt numFmtId="170" formatCode="0.00000"/>
    <numFmt numFmtId="171" formatCode="0.0000E+00"/>
    <numFmt numFmtId="172" formatCode="#,##0.0"/>
  </numFmts>
  <fonts count="35" x14ac:knownFonts="1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i/>
      <sz val="10"/>
      <name val="Arial"/>
      <family val="2"/>
    </font>
    <font>
      <i/>
      <sz val="10"/>
      <name val="Arial"/>
      <family val="2"/>
    </font>
    <font>
      <sz val="7"/>
      <name val="Arial"/>
      <family val="2"/>
    </font>
    <font>
      <vertAlign val="superscript"/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b/>
      <sz val="16"/>
      <name val="Arial"/>
      <family val="2"/>
    </font>
    <font>
      <sz val="10"/>
      <color indexed="9"/>
      <name val="Arial"/>
      <family val="2"/>
    </font>
    <font>
      <b/>
      <sz val="16"/>
      <color indexed="9"/>
      <name val="Bookman Old Style"/>
      <family val="1"/>
    </font>
    <font>
      <b/>
      <sz val="12"/>
      <color indexed="60"/>
      <name val="Arial"/>
      <family val="2"/>
    </font>
    <font>
      <sz val="14"/>
      <name val="Antique Olive Compact"/>
      <family val="2"/>
    </font>
    <font>
      <sz val="10"/>
      <name val="Courier"/>
      <family val="3"/>
    </font>
    <font>
      <b/>
      <sz val="10"/>
      <color theme="0"/>
      <name val="Courier"/>
      <family val="3"/>
    </font>
    <font>
      <vertAlign val="superscript"/>
      <sz val="10"/>
      <name val="Courier"/>
      <family val="3"/>
    </font>
    <font>
      <b/>
      <sz val="10"/>
      <color theme="0"/>
      <name val="Arial"/>
      <family val="2"/>
    </font>
    <font>
      <b/>
      <sz val="10"/>
      <name val="Courier"/>
      <family val="3"/>
    </font>
    <font>
      <sz val="10"/>
      <color theme="0"/>
      <name val="Courier"/>
      <family val="3"/>
    </font>
    <font>
      <b/>
      <u/>
      <sz val="10"/>
      <color indexed="51"/>
      <name val="Arial"/>
      <family val="2"/>
    </font>
    <font>
      <b/>
      <sz val="10"/>
      <color indexed="9"/>
      <name val="Arial"/>
      <family val="2"/>
    </font>
    <font>
      <b/>
      <u/>
      <sz val="10"/>
      <color indexed="14"/>
      <name val="Arial"/>
      <family val="2"/>
    </font>
    <font>
      <b/>
      <sz val="10"/>
      <color indexed="11"/>
      <name val="Arial"/>
      <family val="2"/>
    </font>
    <font>
      <b/>
      <sz val="10"/>
      <color indexed="14"/>
      <name val="Arial"/>
      <family val="2"/>
    </font>
    <font>
      <b/>
      <u/>
      <sz val="10"/>
      <color indexed="11"/>
      <name val="Arial"/>
      <family val="2"/>
    </font>
    <font>
      <sz val="11"/>
      <name val="Arial"/>
      <family val="2"/>
    </font>
    <font>
      <b/>
      <u/>
      <sz val="10"/>
      <color indexed="9"/>
      <name val="Arial"/>
      <family val="2"/>
    </font>
    <font>
      <u/>
      <sz val="8"/>
      <name val="Arial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0"/>
      <color theme="0"/>
      <name val="Arial"/>
      <family val="2"/>
    </font>
  </fonts>
  <fills count="18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006600"/>
        <bgColor indexed="64"/>
      </patternFill>
    </fill>
    <fill>
      <patternFill patternType="solid">
        <fgColor rgb="FF6633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AAD25B"/>
        <bgColor indexed="64"/>
      </patternFill>
    </fill>
    <fill>
      <patternFill patternType="solid">
        <fgColor rgb="FFF5876D"/>
        <bgColor indexed="64"/>
      </patternFill>
    </fill>
    <fill>
      <patternFill patternType="solid">
        <fgColor rgb="FF6A5235"/>
        <bgColor indexed="64"/>
      </patternFill>
    </fill>
    <fill>
      <patternFill patternType="solid">
        <fgColor rgb="FF2970B8"/>
        <bgColor indexed="64"/>
      </patternFill>
    </fill>
    <fill>
      <patternFill patternType="solid">
        <fgColor rgb="FF57C2B1"/>
        <bgColor indexed="64"/>
      </patternFill>
    </fill>
    <fill>
      <patternFill patternType="solid">
        <fgColor rgb="FFBC55A0"/>
        <bgColor indexed="64"/>
      </patternFill>
    </fill>
    <fill>
      <patternFill patternType="solid">
        <fgColor rgb="FF333333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9CD1A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auto="1"/>
      </left>
      <right/>
      <top style="double">
        <color auto="1"/>
      </top>
      <bottom style="double">
        <color auto="1"/>
      </bottom>
      <diagonal/>
    </border>
    <border>
      <left/>
      <right/>
      <top style="double">
        <color auto="1"/>
      </top>
      <bottom style="double">
        <color auto="1"/>
      </bottom>
      <diagonal/>
    </border>
    <border>
      <left/>
      <right style="double">
        <color auto="1"/>
      </right>
      <top style="double">
        <color auto="1"/>
      </top>
      <bottom style="double">
        <color auto="1"/>
      </bottom>
      <diagonal/>
    </border>
  </borders>
  <cellStyleXfs count="7">
    <xf numFmtId="0" fontId="0" fillId="0" borderId="0"/>
    <xf numFmtId="9" fontId="2" fillId="0" borderId="0" applyFont="0" applyFill="0" applyBorder="0" applyAlignment="0" applyProtection="0"/>
    <xf numFmtId="0" fontId="2" fillId="0" borderId="0"/>
    <xf numFmtId="0" fontId="1" fillId="0" borderId="0"/>
    <xf numFmtId="0" fontId="1" fillId="0" borderId="0"/>
    <xf numFmtId="9" fontId="2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70">
    <xf numFmtId="0" fontId="0" fillId="0" borderId="0" xfId="0"/>
    <xf numFmtId="0" fontId="0" fillId="0" borderId="0" xfId="0" applyAlignment="1"/>
    <xf numFmtId="4" fontId="0" fillId="0" borderId="0" xfId="0" applyNumberFormat="1"/>
    <xf numFmtId="0" fontId="4" fillId="0" borderId="0" xfId="0" applyFont="1" applyAlignment="1" applyProtection="1">
      <alignment horizontal="centerContinuous"/>
    </xf>
    <xf numFmtId="0" fontId="0" fillId="0" borderId="0" xfId="0" applyAlignment="1" applyProtection="1">
      <alignment horizontal="centerContinuous"/>
    </xf>
    <xf numFmtId="0" fontId="0" fillId="0" borderId="0" xfId="0" applyProtection="1"/>
    <xf numFmtId="0" fontId="0" fillId="0" borderId="0" xfId="0" applyBorder="1" applyAlignment="1" applyProtection="1">
      <alignment horizontal="center"/>
    </xf>
    <xf numFmtId="0" fontId="0" fillId="0" borderId="0" xfId="0" applyAlignment="1" applyProtection="1">
      <alignment horizontal="center"/>
    </xf>
    <xf numFmtId="0" fontId="0" fillId="0" borderId="2" xfId="0" applyBorder="1" applyProtection="1"/>
    <xf numFmtId="0" fontId="0" fillId="0" borderId="2" xfId="0" applyBorder="1" applyAlignment="1" applyProtection="1">
      <alignment horizontal="center"/>
    </xf>
    <xf numFmtId="0" fontId="0" fillId="0" borderId="0" xfId="0" applyAlignment="1" applyProtection="1"/>
    <xf numFmtId="0" fontId="0" fillId="0" borderId="4" xfId="0" applyBorder="1" applyAlignment="1" applyProtection="1">
      <alignment horizontal="center"/>
    </xf>
    <xf numFmtId="0" fontId="0" fillId="0" borderId="6" xfId="0" applyBorder="1" applyProtection="1"/>
    <xf numFmtId="0" fontId="5" fillId="0" borderId="0" xfId="0" applyFont="1" applyProtection="1"/>
    <xf numFmtId="4" fontId="5" fillId="0" borderId="0" xfId="0" applyNumberFormat="1" applyFont="1" applyProtection="1"/>
    <xf numFmtId="164" fontId="5" fillId="0" borderId="6" xfId="1" applyNumberFormat="1" applyFont="1" applyBorder="1" applyAlignment="1" applyProtection="1">
      <alignment horizontal="center"/>
    </xf>
    <xf numFmtId="0" fontId="0" fillId="0" borderId="0" xfId="0" applyAlignment="1" applyProtection="1">
      <alignment horizontal="left" indent="1"/>
    </xf>
    <xf numFmtId="3" fontId="0" fillId="0" borderId="0" xfId="0" applyNumberFormat="1" applyAlignment="1" applyProtection="1">
      <alignment horizontal="center"/>
    </xf>
    <xf numFmtId="4" fontId="0" fillId="0" borderId="0" xfId="0" applyNumberFormat="1" applyAlignment="1" applyProtection="1">
      <alignment horizontal="center"/>
    </xf>
    <xf numFmtId="4" fontId="5" fillId="0" borderId="0" xfId="0" applyNumberFormat="1" applyFont="1" applyAlignment="1" applyProtection="1">
      <alignment horizontal="center"/>
    </xf>
    <xf numFmtId="0" fontId="6" fillId="0" borderId="0" xfId="0" applyFont="1" applyAlignment="1" applyProtection="1">
      <alignment horizontal="left" indent="1"/>
    </xf>
    <xf numFmtId="4" fontId="6" fillId="0" borderId="0" xfId="0" applyNumberFormat="1" applyFont="1" applyProtection="1"/>
    <xf numFmtId="4" fontId="6" fillId="0" borderId="0" xfId="0" applyNumberFormat="1" applyFont="1" applyAlignment="1" applyProtection="1">
      <alignment horizontal="center"/>
    </xf>
    <xf numFmtId="0" fontId="0" fillId="0" borderId="0" xfId="0" applyAlignment="1" applyProtection="1">
      <alignment horizontal="left" indent="2"/>
    </xf>
    <xf numFmtId="4" fontId="0" fillId="0" borderId="0" xfId="0" applyNumberFormat="1" applyFill="1" applyAlignment="1" applyProtection="1">
      <alignment horizontal="center"/>
    </xf>
    <xf numFmtId="164" fontId="5" fillId="0" borderId="6" xfId="1" applyNumberFormat="1" applyFont="1" applyFill="1" applyBorder="1" applyAlignment="1" applyProtection="1">
      <alignment horizontal="center"/>
    </xf>
    <xf numFmtId="164" fontId="2" fillId="0" borderId="7" xfId="1" applyNumberFormat="1" applyBorder="1" applyAlignment="1" applyProtection="1">
      <alignment horizontal="center"/>
    </xf>
    <xf numFmtId="0" fontId="0" fillId="0" borderId="0" xfId="0" applyBorder="1" applyProtection="1"/>
    <xf numFmtId="0" fontId="0" fillId="0" borderId="0" xfId="0" applyFill="1" applyBorder="1" applyProtection="1"/>
    <xf numFmtId="164" fontId="9" fillId="0" borderId="0" xfId="1" applyNumberFormat="1" applyFont="1" applyFill="1" applyBorder="1" applyAlignment="1" applyProtection="1">
      <alignment horizontal="center" vertical="center"/>
    </xf>
    <xf numFmtId="0" fontId="10" fillId="0" borderId="0" xfId="0" applyFont="1" applyProtection="1"/>
    <xf numFmtId="0" fontId="0" fillId="0" borderId="0" xfId="0" applyFill="1"/>
    <xf numFmtId="0" fontId="11" fillId="0" borderId="0" xfId="0" applyFont="1"/>
    <xf numFmtId="0" fontId="0" fillId="0" borderId="0" xfId="0" applyAlignment="1">
      <alignment vertical="center"/>
    </xf>
    <xf numFmtId="0" fontId="4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4" fillId="0" borderId="0" xfId="0" applyFont="1" applyAlignment="1">
      <alignment horizontal="center" vertical="center"/>
    </xf>
    <xf numFmtId="4" fontId="11" fillId="0" borderId="0" xfId="0" applyNumberFormat="1" applyFont="1" applyAlignment="1">
      <alignment horizontal="right" vertical="center"/>
    </xf>
    <xf numFmtId="0" fontId="12" fillId="0" borderId="0" xfId="0" quotePrefix="1" applyFont="1" applyAlignment="1">
      <alignment horizontal="center" vertical="center"/>
    </xf>
    <xf numFmtId="0" fontId="0" fillId="0" borderId="0" xfId="0" applyBorder="1"/>
    <xf numFmtId="0" fontId="0" fillId="0" borderId="0" xfId="0" applyFill="1" applyAlignment="1" applyProtection="1"/>
    <xf numFmtId="164" fontId="2" fillId="0" borderId="6" xfId="1" applyNumberFormat="1" applyFill="1" applyBorder="1" applyAlignment="1" applyProtection="1">
      <alignment horizontal="center"/>
    </xf>
    <xf numFmtId="164" fontId="6" fillId="0" borderId="6" xfId="1" applyNumberFormat="1" applyFont="1" applyFill="1" applyBorder="1" applyAlignment="1" applyProtection="1">
      <alignment horizontal="center"/>
    </xf>
    <xf numFmtId="0" fontId="7" fillId="0" borderId="0" xfId="0" applyFont="1" applyFill="1" applyAlignment="1" applyProtection="1">
      <alignment horizontal="left" vertical="top"/>
    </xf>
    <xf numFmtId="0" fontId="7" fillId="0" borderId="0" xfId="0" applyFont="1" applyFill="1" applyAlignment="1" applyProtection="1">
      <alignment horizontal="center" vertical="center"/>
    </xf>
    <xf numFmtId="0" fontId="7" fillId="0" borderId="0" xfId="0" applyFont="1" applyFill="1" applyAlignment="1" applyProtection="1"/>
    <xf numFmtId="0" fontId="7" fillId="0" borderId="0" xfId="0" applyFont="1" applyFill="1" applyAlignment="1" applyProtection="1">
      <alignment horizontal="left" vertical="center"/>
    </xf>
    <xf numFmtId="0" fontId="4" fillId="0" borderId="0" xfId="0" applyFont="1" applyAlignment="1">
      <alignment horizontal="left" vertical="center"/>
    </xf>
    <xf numFmtId="0" fontId="11" fillId="0" borderId="0" xfId="0" applyFont="1" applyAlignment="1">
      <alignment horizontal="left" indent="1"/>
    </xf>
    <xf numFmtId="0" fontId="0" fillId="2" borderId="0" xfId="0" applyFill="1"/>
    <xf numFmtId="0" fontId="14" fillId="2" borderId="0" xfId="0" applyFont="1" applyFill="1" applyAlignment="1">
      <alignment horizontal="centerContinuous" vertical="center"/>
    </xf>
    <xf numFmtId="0" fontId="13" fillId="2" borderId="0" xfId="0" applyFont="1" applyFill="1" applyAlignment="1">
      <alignment horizontal="centerContinuous" vertical="center"/>
    </xf>
    <xf numFmtId="0" fontId="11" fillId="0" borderId="0" xfId="0" applyFont="1" applyFill="1" applyAlignment="1">
      <alignment horizontal="left" vertical="center" indent="1"/>
    </xf>
    <xf numFmtId="0" fontId="11" fillId="0" borderId="0" xfId="0" applyFont="1" applyFill="1" applyAlignment="1">
      <alignment vertical="center"/>
    </xf>
    <xf numFmtId="165" fontId="0" fillId="0" borderId="0" xfId="0" applyNumberFormat="1" applyFill="1" applyAlignment="1" applyProtection="1">
      <alignment horizontal="center"/>
    </xf>
    <xf numFmtId="167" fontId="0" fillId="0" borderId="0" xfId="0" applyNumberFormat="1" applyFill="1" applyAlignment="1" applyProtection="1">
      <alignment horizontal="center"/>
    </xf>
    <xf numFmtId="166" fontId="0" fillId="0" borderId="0" xfId="0" applyNumberFormat="1" applyFill="1" applyAlignment="1" applyProtection="1">
      <alignment horizontal="center"/>
    </xf>
    <xf numFmtId="0" fontId="11" fillId="3" borderId="0" xfId="0" applyFont="1" applyFill="1" applyAlignment="1">
      <alignment vertical="center"/>
    </xf>
    <xf numFmtId="0" fontId="11" fillId="3" borderId="0" xfId="0" applyFont="1" applyFill="1" applyAlignment="1">
      <alignment horizontal="left" vertical="center" indent="1"/>
    </xf>
    <xf numFmtId="0" fontId="15" fillId="0" borderId="0" xfId="0" applyFont="1" applyAlignment="1">
      <alignment horizontal="center" vertical="center"/>
    </xf>
    <xf numFmtId="4" fontId="4" fillId="0" borderId="0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vertical="top"/>
    </xf>
    <xf numFmtId="4" fontId="5" fillId="0" borderId="0" xfId="0" applyNumberFormat="1" applyFont="1" applyAlignment="1" applyProtection="1">
      <alignment horizontal="right" indent="1"/>
    </xf>
    <xf numFmtId="4" fontId="0" fillId="0" borderId="0" xfId="0" applyNumberFormat="1" applyFill="1" applyAlignment="1" applyProtection="1">
      <alignment horizontal="right" indent="1"/>
    </xf>
    <xf numFmtId="4" fontId="5" fillId="0" borderId="0" xfId="0" applyNumberFormat="1" applyFont="1" applyFill="1" applyAlignment="1" applyProtection="1">
      <alignment horizontal="right" indent="1"/>
    </xf>
    <xf numFmtId="4" fontId="6" fillId="0" borderId="0" xfId="0" applyNumberFormat="1" applyFont="1" applyFill="1" applyAlignment="1" applyProtection="1">
      <alignment horizontal="right" indent="1"/>
    </xf>
    <xf numFmtId="4" fontId="0" fillId="0" borderId="2" xfId="0" applyNumberFormat="1" applyBorder="1" applyAlignment="1" applyProtection="1">
      <alignment horizontal="right" indent="1"/>
    </xf>
    <xf numFmtId="0" fontId="17" fillId="0" borderId="0" xfId="2" applyFont="1" applyAlignment="1">
      <alignment vertical="center"/>
    </xf>
    <xf numFmtId="0" fontId="17" fillId="0" borderId="0" xfId="2" applyFont="1" applyAlignment="1">
      <alignment horizontal="center" vertical="center"/>
    </xf>
    <xf numFmtId="167" fontId="17" fillId="0" borderId="0" xfId="2" applyNumberFormat="1" applyFont="1" applyAlignment="1">
      <alignment horizontal="center" vertical="center"/>
    </xf>
    <xf numFmtId="0" fontId="17" fillId="0" borderId="2" xfId="2" applyFont="1" applyBorder="1" applyAlignment="1">
      <alignment vertical="center"/>
    </xf>
    <xf numFmtId="0" fontId="17" fillId="0" borderId="2" xfId="2" applyFont="1" applyBorder="1" applyAlignment="1">
      <alignment horizontal="center" vertical="center"/>
    </xf>
    <xf numFmtId="167" fontId="17" fillId="0" borderId="2" xfId="2" applyNumberFormat="1" applyFont="1" applyBorder="1" applyAlignment="1">
      <alignment horizontal="center" vertical="center"/>
    </xf>
    <xf numFmtId="0" fontId="17" fillId="0" borderId="21" xfId="2" applyFont="1" applyBorder="1" applyAlignment="1">
      <alignment horizontal="center" vertical="center"/>
    </xf>
    <xf numFmtId="0" fontId="17" fillId="0" borderId="22" xfId="2" applyFont="1" applyBorder="1" applyAlignment="1">
      <alignment horizontal="center" vertical="center"/>
    </xf>
    <xf numFmtId="0" fontId="17" fillId="0" borderId="6" xfId="2" applyFont="1" applyBorder="1" applyAlignment="1">
      <alignment horizontal="center" vertical="center"/>
    </xf>
    <xf numFmtId="0" fontId="17" fillId="0" borderId="27" xfId="2" applyFont="1" applyBorder="1" applyAlignment="1">
      <alignment horizontal="center" vertical="center"/>
    </xf>
    <xf numFmtId="0" fontId="17" fillId="0" borderId="0" xfId="2" applyFont="1" applyBorder="1" applyAlignment="1">
      <alignment horizontal="center" vertical="center"/>
    </xf>
    <xf numFmtId="0" fontId="17" fillId="0" borderId="7" xfId="2" applyFont="1" applyBorder="1" applyAlignment="1">
      <alignment horizontal="center" vertical="center"/>
    </xf>
    <xf numFmtId="0" fontId="17" fillId="0" borderId="31" xfId="2" applyFont="1" applyBorder="1" applyAlignment="1">
      <alignment horizontal="center" vertical="center"/>
    </xf>
    <xf numFmtId="0" fontId="17" fillId="0" borderId="35" xfId="2" applyFont="1" applyFill="1" applyBorder="1" applyAlignment="1">
      <alignment horizontal="center" vertical="center"/>
    </xf>
    <xf numFmtId="0" fontId="17" fillId="0" borderId="36" xfId="2" applyFont="1" applyFill="1" applyBorder="1" applyAlignment="1">
      <alignment horizontal="center" vertical="center"/>
    </xf>
    <xf numFmtId="0" fontId="17" fillId="0" borderId="40" xfId="2" applyFont="1" applyFill="1" applyBorder="1" applyAlignment="1">
      <alignment horizontal="center" vertical="center"/>
    </xf>
    <xf numFmtId="0" fontId="17" fillId="0" borderId="1" xfId="2" applyFont="1" applyFill="1" applyBorder="1" applyAlignment="1">
      <alignment horizontal="center" vertical="center"/>
    </xf>
    <xf numFmtId="4" fontId="17" fillId="0" borderId="0" xfId="2" applyNumberFormat="1" applyFont="1" applyAlignment="1">
      <alignment horizontal="center" vertical="center"/>
    </xf>
    <xf numFmtId="0" fontId="17" fillId="0" borderId="4" xfId="2" applyFont="1" applyBorder="1" applyAlignment="1">
      <alignment horizontal="center" vertical="center"/>
    </xf>
    <xf numFmtId="0" fontId="17" fillId="0" borderId="33" xfId="2" applyFont="1" applyBorder="1" applyAlignment="1">
      <alignment horizontal="center" vertical="center"/>
    </xf>
    <xf numFmtId="0" fontId="17" fillId="0" borderId="17" xfId="2" applyFont="1" applyBorder="1" applyAlignment="1">
      <alignment horizontal="center" vertical="center"/>
    </xf>
    <xf numFmtId="0" fontId="17" fillId="0" borderId="47" xfId="2" applyFont="1" applyBorder="1" applyAlignment="1">
      <alignment horizontal="center" vertical="center"/>
    </xf>
    <xf numFmtId="0" fontId="17" fillId="0" borderId="48" xfId="2" applyFont="1" applyBorder="1" applyAlignment="1">
      <alignment horizontal="center" vertical="center"/>
    </xf>
    <xf numFmtId="0" fontId="17" fillId="0" borderId="21" xfId="2" applyFont="1" applyFill="1" applyBorder="1" applyAlignment="1">
      <alignment horizontal="center" vertical="center"/>
    </xf>
    <xf numFmtId="0" fontId="17" fillId="0" borderId="22" xfId="2" applyFont="1" applyFill="1" applyBorder="1" applyAlignment="1">
      <alignment horizontal="center" vertical="center"/>
    </xf>
    <xf numFmtId="0" fontId="21" fillId="0" borderId="0" xfId="2" applyFont="1" applyAlignment="1">
      <alignment vertical="center"/>
    </xf>
    <xf numFmtId="0" fontId="21" fillId="0" borderId="0" xfId="2" quotePrefix="1" applyFont="1" applyAlignment="1">
      <alignment vertical="center"/>
    </xf>
    <xf numFmtId="0" fontId="17" fillId="0" borderId="29" xfId="2" applyFont="1" applyBorder="1" applyAlignment="1">
      <alignment horizontal="center" vertical="center"/>
    </xf>
    <xf numFmtId="170" fontId="17" fillId="0" borderId="0" xfId="2" applyNumberFormat="1" applyFont="1" applyAlignment="1">
      <alignment horizontal="center" vertical="center"/>
    </xf>
    <xf numFmtId="4" fontId="17" fillId="6" borderId="0" xfId="2" applyNumberFormat="1" applyFont="1" applyFill="1" applyAlignment="1">
      <alignment horizontal="center" vertical="center"/>
    </xf>
    <xf numFmtId="170" fontId="18" fillId="4" borderId="0" xfId="2" applyNumberFormat="1" applyFont="1" applyFill="1" applyAlignment="1">
      <alignment horizontal="center" vertical="center"/>
    </xf>
    <xf numFmtId="4" fontId="18" fillId="4" borderId="0" xfId="2" applyNumberFormat="1" applyFont="1" applyFill="1" applyAlignment="1">
      <alignment horizontal="center" vertical="center"/>
    </xf>
    <xf numFmtId="167" fontId="18" fillId="4" borderId="0" xfId="2" applyNumberFormat="1" applyFont="1" applyFill="1" applyAlignment="1">
      <alignment horizontal="center" vertical="center"/>
    </xf>
    <xf numFmtId="169" fontId="17" fillId="6" borderId="0" xfId="2" applyNumberFormat="1" applyFont="1" applyFill="1" applyAlignment="1">
      <alignment horizontal="center" vertical="center"/>
    </xf>
    <xf numFmtId="168" fontId="17" fillId="6" borderId="0" xfId="2" applyNumberFormat="1" applyFont="1" applyFill="1" applyAlignment="1">
      <alignment horizontal="center" vertical="center"/>
    </xf>
    <xf numFmtId="167" fontId="17" fillId="6" borderId="0" xfId="2" applyNumberFormat="1" applyFont="1" applyFill="1" applyAlignment="1">
      <alignment horizontal="center" vertical="center"/>
    </xf>
    <xf numFmtId="2" fontId="17" fillId="6" borderId="0" xfId="2" applyNumberFormat="1" applyFont="1" applyFill="1" applyAlignment="1">
      <alignment horizontal="center" vertical="center"/>
    </xf>
    <xf numFmtId="4" fontId="4" fillId="0" borderId="2" xfId="0" applyNumberFormat="1" applyFont="1" applyFill="1" applyBorder="1" applyAlignment="1">
      <alignment horizontal="center" vertical="center"/>
    </xf>
    <xf numFmtId="0" fontId="15" fillId="0" borderId="0" xfId="0" applyFont="1" applyAlignment="1">
      <alignment horizontal="center"/>
    </xf>
    <xf numFmtId="167" fontId="17" fillId="0" borderId="24" xfId="0" applyNumberFormat="1" applyFont="1" applyBorder="1" applyAlignment="1">
      <alignment horizontal="center" vertical="center"/>
    </xf>
    <xf numFmtId="167" fontId="17" fillId="0" borderId="26" xfId="0" applyNumberFormat="1" applyFont="1" applyBorder="1" applyAlignment="1">
      <alignment horizontal="center" vertical="center"/>
    </xf>
    <xf numFmtId="0" fontId="17" fillId="0" borderId="0" xfId="0" applyFont="1" applyAlignment="1">
      <alignment horizontal="center" vertical="center"/>
    </xf>
    <xf numFmtId="0" fontId="17" fillId="0" borderId="24" xfId="0" applyFont="1" applyBorder="1" applyAlignment="1">
      <alignment horizontal="center" vertical="center"/>
    </xf>
    <xf numFmtId="0" fontId="17" fillId="0" borderId="23" xfId="0" applyFont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center" vertical="center"/>
    </xf>
    <xf numFmtId="167" fontId="17" fillId="0" borderId="3" xfId="0" applyNumberFormat="1" applyFont="1" applyBorder="1" applyAlignment="1">
      <alignment horizontal="center" vertical="center"/>
    </xf>
    <xf numFmtId="167" fontId="17" fillId="0" borderId="16" xfId="0" applyNumberFormat="1" applyFont="1" applyBorder="1" applyAlignment="1">
      <alignment horizontal="center" vertical="center"/>
    </xf>
    <xf numFmtId="0" fontId="17" fillId="0" borderId="10" xfId="0" applyFont="1" applyBorder="1" applyAlignment="1">
      <alignment horizontal="center" vertical="center"/>
    </xf>
    <xf numFmtId="0" fontId="17" fillId="0" borderId="32" xfId="0" applyFont="1" applyBorder="1" applyAlignment="1">
      <alignment horizontal="center" vertical="center"/>
    </xf>
    <xf numFmtId="0" fontId="17" fillId="0" borderId="28" xfId="0" applyFont="1" applyBorder="1" applyAlignment="1">
      <alignment horizontal="center" vertical="center"/>
    </xf>
    <xf numFmtId="0" fontId="17" fillId="0" borderId="37" xfId="0" applyFont="1" applyFill="1" applyBorder="1" applyAlignment="1">
      <alignment horizontal="center" vertical="center"/>
    </xf>
    <xf numFmtId="167" fontId="17" fillId="0" borderId="38" xfId="0" applyNumberFormat="1" applyFont="1" applyFill="1" applyBorder="1" applyAlignment="1">
      <alignment horizontal="center" vertical="center"/>
    </xf>
    <xf numFmtId="171" fontId="17" fillId="0" borderId="37" xfId="0" applyNumberFormat="1" applyFont="1" applyFill="1" applyBorder="1" applyAlignment="1">
      <alignment horizontal="center" vertical="center"/>
    </xf>
    <xf numFmtId="2" fontId="17" fillId="0" borderId="38" xfId="0" applyNumberFormat="1" applyFont="1" applyFill="1" applyBorder="1" applyAlignment="1">
      <alignment horizontal="center" vertical="center"/>
    </xf>
    <xf numFmtId="2" fontId="17" fillId="0" borderId="39" xfId="0" applyNumberFormat="1" applyFont="1" applyFill="1" applyBorder="1" applyAlignment="1">
      <alignment horizontal="center" vertical="center"/>
    </xf>
    <xf numFmtId="4" fontId="17" fillId="0" borderId="38" xfId="0" applyNumberFormat="1" applyFont="1" applyFill="1" applyBorder="1" applyAlignment="1">
      <alignment horizontal="center" vertical="center"/>
    </xf>
    <xf numFmtId="4" fontId="17" fillId="0" borderId="39" xfId="0" applyNumberFormat="1" applyFont="1" applyFill="1" applyBorder="1" applyAlignment="1">
      <alignment horizontal="center" vertical="center"/>
    </xf>
    <xf numFmtId="0" fontId="17" fillId="0" borderId="41" xfId="0" applyFont="1" applyFill="1" applyBorder="1" applyAlignment="1">
      <alignment horizontal="center" vertical="center"/>
    </xf>
    <xf numFmtId="167" fontId="17" fillId="0" borderId="42" xfId="0" applyNumberFormat="1" applyFont="1" applyFill="1" applyBorder="1" applyAlignment="1">
      <alignment horizontal="center" vertical="center"/>
    </xf>
    <xf numFmtId="168" fontId="17" fillId="0" borderId="1" xfId="0" applyNumberFormat="1" applyFont="1" applyFill="1" applyBorder="1" applyAlignment="1">
      <alignment horizontal="center" vertical="center"/>
    </xf>
    <xf numFmtId="171" fontId="17" fillId="0" borderId="41" xfId="0" applyNumberFormat="1" applyFont="1" applyFill="1" applyBorder="1" applyAlignment="1">
      <alignment horizontal="center" vertical="center"/>
    </xf>
    <xf numFmtId="4" fontId="17" fillId="0" borderId="42" xfId="0" applyNumberFormat="1" applyFont="1" applyFill="1" applyBorder="1" applyAlignment="1">
      <alignment horizontal="center" vertical="center"/>
    </xf>
    <xf numFmtId="4" fontId="17" fillId="0" borderId="43" xfId="0" applyNumberFormat="1" applyFont="1" applyFill="1" applyBorder="1" applyAlignment="1">
      <alignment horizontal="center" vertical="center"/>
    </xf>
    <xf numFmtId="167" fontId="21" fillId="0" borderId="24" xfId="0" applyNumberFormat="1" applyFont="1" applyBorder="1" applyAlignment="1">
      <alignment horizontal="centerContinuous" vertical="center"/>
    </xf>
    <xf numFmtId="167" fontId="21" fillId="0" borderId="22" xfId="0" applyNumberFormat="1" applyFont="1" applyBorder="1" applyAlignment="1">
      <alignment horizontal="centerContinuous" vertical="center"/>
    </xf>
    <xf numFmtId="167" fontId="21" fillId="0" borderId="26" xfId="0" applyNumberFormat="1" applyFont="1" applyBorder="1" applyAlignment="1">
      <alignment horizontal="centerContinuous" vertical="center"/>
    </xf>
    <xf numFmtId="167" fontId="21" fillId="0" borderId="10" xfId="0" applyNumberFormat="1" applyFont="1" applyBorder="1" applyAlignment="1">
      <alignment horizontal="centerContinuous" vertical="center"/>
    </xf>
    <xf numFmtId="167" fontId="21" fillId="0" borderId="2" xfId="0" applyNumberFormat="1" applyFont="1" applyBorder="1" applyAlignment="1">
      <alignment horizontal="centerContinuous" vertical="center"/>
    </xf>
    <xf numFmtId="167" fontId="21" fillId="0" borderId="16" xfId="0" applyNumberFormat="1" applyFont="1" applyBorder="1" applyAlignment="1">
      <alignment horizontal="centerContinuous" vertical="center"/>
    </xf>
    <xf numFmtId="0" fontId="17" fillId="0" borderId="13" xfId="0" applyFont="1" applyBorder="1" applyAlignment="1">
      <alignment horizontal="center" vertical="center"/>
    </xf>
    <xf numFmtId="4" fontId="17" fillId="0" borderId="24" xfId="0" applyNumberFormat="1" applyFont="1" applyBorder="1" applyAlignment="1">
      <alignment horizontal="center" vertical="center"/>
    </xf>
    <xf numFmtId="4" fontId="17" fillId="0" borderId="23" xfId="0" applyNumberFormat="1" applyFont="1" applyBorder="1" applyAlignment="1">
      <alignment horizontal="center" vertical="center"/>
    </xf>
    <xf numFmtId="167" fontId="17" fillId="0" borderId="10" xfId="0" applyNumberFormat="1" applyFont="1" applyBorder="1" applyAlignment="1">
      <alignment horizontal="center" vertical="center"/>
    </xf>
    <xf numFmtId="4" fontId="17" fillId="0" borderId="10" xfId="0" applyNumberFormat="1" applyFont="1" applyBorder="1" applyAlignment="1">
      <alignment horizontal="center" vertical="center"/>
    </xf>
    <xf numFmtId="4" fontId="17" fillId="0" borderId="32" xfId="0" applyNumberFormat="1" applyFont="1" applyBorder="1" applyAlignment="1">
      <alignment horizontal="center" vertical="center"/>
    </xf>
    <xf numFmtId="0" fontId="17" fillId="0" borderId="30" xfId="0" applyFont="1" applyBorder="1" applyAlignment="1">
      <alignment horizontal="center" vertical="center"/>
    </xf>
    <xf numFmtId="167" fontId="17" fillId="0" borderId="11" xfId="0" applyNumberFormat="1" applyFont="1" applyBorder="1" applyAlignment="1">
      <alignment horizontal="center" vertical="center"/>
    </xf>
    <xf numFmtId="167" fontId="17" fillId="0" borderId="9" xfId="0" applyNumberFormat="1" applyFont="1" applyBorder="1" applyAlignment="1">
      <alignment horizontal="center" vertical="center"/>
    </xf>
    <xf numFmtId="167" fontId="17" fillId="0" borderId="12" xfId="0" applyNumberFormat="1" applyFont="1" applyBorder="1" applyAlignment="1">
      <alignment horizontal="center" vertical="center"/>
    </xf>
    <xf numFmtId="4" fontId="17" fillId="0" borderId="11" xfId="0" applyNumberFormat="1" applyFont="1" applyBorder="1" applyAlignment="1">
      <alignment horizontal="center" vertical="center"/>
    </xf>
    <xf numFmtId="4" fontId="17" fillId="0" borderId="30" xfId="0" applyNumberFormat="1" applyFont="1" applyBorder="1" applyAlignment="1">
      <alignment horizontal="center" vertical="center"/>
    </xf>
    <xf numFmtId="167" fontId="17" fillId="0" borderId="44" xfId="0" applyNumberFormat="1" applyFont="1" applyBorder="1" applyAlignment="1">
      <alignment horizontal="center" vertical="center"/>
    </xf>
    <xf numFmtId="167" fontId="17" fillId="0" borderId="45" xfId="0" applyNumberFormat="1" applyFont="1" applyBorder="1" applyAlignment="1">
      <alignment horizontal="center" vertical="center"/>
    </xf>
    <xf numFmtId="167" fontId="17" fillId="0" borderId="46" xfId="0" applyNumberFormat="1" applyFont="1" applyBorder="1" applyAlignment="1">
      <alignment horizontal="center" vertical="center"/>
    </xf>
    <xf numFmtId="0" fontId="17" fillId="0" borderId="0" xfId="2" applyFont="1" applyFill="1" applyAlignment="1">
      <alignment vertical="center"/>
    </xf>
    <xf numFmtId="0" fontId="17" fillId="0" borderId="0" xfId="2" applyFont="1" applyFill="1" applyAlignment="1">
      <alignment horizontal="center" vertical="center"/>
    </xf>
    <xf numFmtId="167" fontId="17" fillId="0" borderId="0" xfId="2" applyNumberFormat="1" applyFont="1" applyFill="1" applyAlignment="1">
      <alignment horizontal="center" vertical="center"/>
    </xf>
    <xf numFmtId="0" fontId="21" fillId="0" borderId="0" xfId="2" applyFont="1" applyFill="1" applyAlignment="1">
      <alignment vertical="center"/>
    </xf>
    <xf numFmtId="0" fontId="21" fillId="0" borderId="0" xfId="2" quotePrefix="1" applyFont="1" applyFill="1" applyAlignment="1">
      <alignment vertical="center"/>
    </xf>
    <xf numFmtId="4" fontId="0" fillId="0" borderId="0" xfId="0" applyNumberFormat="1" applyAlignment="1">
      <alignment horizontal="center"/>
    </xf>
    <xf numFmtId="0" fontId="17" fillId="0" borderId="18" xfId="2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29" fillId="0" borderId="0" xfId="0" applyFont="1" applyAlignment="1">
      <alignment horizontal="center" vertical="center"/>
    </xf>
    <xf numFmtId="0" fontId="9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4" fontId="9" fillId="7" borderId="4" xfId="0" applyNumberFormat="1" applyFont="1" applyFill="1" applyBorder="1" applyAlignment="1" applyProtection="1">
      <alignment horizontal="center" vertical="center"/>
    </xf>
    <xf numFmtId="172" fontId="9" fillId="7" borderId="4" xfId="0" applyNumberFormat="1" applyFont="1" applyFill="1" applyBorder="1" applyAlignment="1" applyProtection="1">
      <alignment horizontal="center" vertical="center"/>
    </xf>
    <xf numFmtId="10" fontId="21" fillId="0" borderId="11" xfId="1" applyNumberFormat="1" applyFont="1" applyBorder="1" applyAlignment="1">
      <alignment horizontal="center" vertical="center"/>
    </xf>
    <xf numFmtId="0" fontId="17" fillId="0" borderId="23" xfId="0" applyFont="1" applyFill="1" applyBorder="1" applyAlignment="1">
      <alignment horizontal="center" vertical="center"/>
    </xf>
    <xf numFmtId="167" fontId="17" fillId="0" borderId="25" xfId="0" applyNumberFormat="1" applyFont="1" applyBorder="1" applyAlignment="1">
      <alignment horizontal="center" vertical="center"/>
    </xf>
    <xf numFmtId="170" fontId="17" fillId="0" borderId="23" xfId="0" applyNumberFormat="1" applyFont="1" applyBorder="1" applyAlignment="1">
      <alignment horizontal="center" vertical="center"/>
    </xf>
    <xf numFmtId="167" fontId="21" fillId="0" borderId="13" xfId="0" applyNumberFormat="1" applyFont="1" applyBorder="1" applyAlignment="1">
      <alignment horizontal="centerContinuous" vertical="center"/>
    </xf>
    <xf numFmtId="167" fontId="21" fillId="0" borderId="0" xfId="0" applyNumberFormat="1" applyFont="1" applyBorder="1" applyAlignment="1">
      <alignment horizontal="centerContinuous" vertical="center"/>
    </xf>
    <xf numFmtId="167" fontId="21" fillId="0" borderId="29" xfId="0" applyNumberFormat="1" applyFont="1" applyBorder="1" applyAlignment="1">
      <alignment horizontal="centerContinuous" vertical="center"/>
    </xf>
    <xf numFmtId="167" fontId="17" fillId="0" borderId="0" xfId="0" applyNumberFormat="1" applyFont="1" applyAlignment="1">
      <alignment horizontal="center" vertical="center"/>
    </xf>
    <xf numFmtId="0" fontId="17" fillId="0" borderId="0" xfId="0" applyFont="1" applyAlignment="1">
      <alignment vertical="center"/>
    </xf>
    <xf numFmtId="4" fontId="17" fillId="0" borderId="0" xfId="0" applyNumberFormat="1" applyFont="1" applyAlignment="1">
      <alignment horizontal="center" vertical="center"/>
    </xf>
    <xf numFmtId="4" fontId="17" fillId="0" borderId="0" xfId="0" applyNumberFormat="1" applyFont="1" applyAlignment="1">
      <alignment vertical="center"/>
    </xf>
    <xf numFmtId="0" fontId="17" fillId="0" borderId="30" xfId="0" applyFont="1" applyFill="1" applyBorder="1" applyAlignment="1">
      <alignment horizontal="center" vertical="center"/>
    </xf>
    <xf numFmtId="167" fontId="17" fillId="0" borderId="24" xfId="0" applyNumberFormat="1" applyFont="1" applyBorder="1" applyAlignment="1">
      <alignment horizontal="centerContinuous" vertical="center"/>
    </xf>
    <xf numFmtId="171" fontId="17" fillId="0" borderId="46" xfId="0" applyNumberFormat="1" applyFont="1" applyBorder="1" applyAlignment="1">
      <alignment horizontal="center" vertical="center"/>
    </xf>
    <xf numFmtId="4" fontId="17" fillId="0" borderId="13" xfId="0" applyNumberFormat="1" applyFont="1" applyBorder="1" applyAlignment="1">
      <alignment horizontal="center" vertical="center"/>
    </xf>
    <xf numFmtId="4" fontId="17" fillId="0" borderId="44" xfId="0" applyNumberFormat="1" applyFont="1" applyBorder="1" applyAlignment="1">
      <alignment horizontal="center" vertical="center"/>
    </xf>
    <xf numFmtId="0" fontId="17" fillId="0" borderId="24" xfId="0" applyFont="1" applyFill="1" applyBorder="1" applyAlignment="1">
      <alignment horizontal="center" vertical="center"/>
    </xf>
    <xf numFmtId="0" fontId="18" fillId="5" borderId="11" xfId="0" applyFont="1" applyFill="1" applyBorder="1" applyAlignment="1">
      <alignment horizontal="center" vertical="center"/>
    </xf>
    <xf numFmtId="0" fontId="17" fillId="0" borderId="2" xfId="0" applyFont="1" applyBorder="1" applyAlignment="1">
      <alignment horizontal="center" vertical="center"/>
    </xf>
    <xf numFmtId="0" fontId="18" fillId="5" borderId="4" xfId="0" applyFont="1" applyFill="1" applyBorder="1" applyAlignment="1">
      <alignment horizontal="center" vertical="center"/>
    </xf>
    <xf numFmtId="0" fontId="17" fillId="0" borderId="8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/>
    </xf>
    <xf numFmtId="0" fontId="17" fillId="8" borderId="0" xfId="2" applyFont="1" applyFill="1" applyAlignment="1">
      <alignment vertical="center"/>
    </xf>
    <xf numFmtId="4" fontId="17" fillId="0" borderId="0" xfId="0" applyNumberFormat="1" applyFont="1" applyFill="1" applyAlignment="1">
      <alignment horizontal="center" vertical="center"/>
    </xf>
    <xf numFmtId="4" fontId="17" fillId="0" borderId="0" xfId="0" applyNumberFormat="1" applyFont="1" applyFill="1" applyBorder="1" applyAlignment="1">
      <alignment horizontal="center" vertical="center"/>
    </xf>
    <xf numFmtId="4" fontId="17" fillId="0" borderId="2" xfId="0" applyNumberFormat="1" applyFont="1" applyFill="1" applyBorder="1" applyAlignment="1">
      <alignment horizontal="center" vertical="center"/>
    </xf>
    <xf numFmtId="166" fontId="17" fillId="0" borderId="0" xfId="0" applyNumberFormat="1" applyFont="1" applyFill="1" applyAlignment="1">
      <alignment horizontal="center" vertical="center"/>
    </xf>
    <xf numFmtId="4" fontId="17" fillId="0" borderId="14" xfId="0" applyNumberFormat="1" applyFont="1" applyFill="1" applyBorder="1" applyAlignment="1">
      <alignment horizontal="center" vertical="center"/>
    </xf>
    <xf numFmtId="166" fontId="17" fillId="0" borderId="0" xfId="0" applyNumberFormat="1" applyFont="1" applyFill="1" applyBorder="1" applyAlignment="1">
      <alignment horizontal="center" vertical="center"/>
    </xf>
    <xf numFmtId="4" fontId="17" fillId="0" borderId="13" xfId="0" applyNumberFormat="1" applyFont="1" applyFill="1" applyBorder="1" applyAlignment="1">
      <alignment horizontal="center" vertical="center"/>
    </xf>
    <xf numFmtId="166" fontId="17" fillId="0" borderId="2" xfId="0" applyNumberFormat="1" applyFont="1" applyFill="1" applyBorder="1" applyAlignment="1">
      <alignment horizontal="center" vertical="center"/>
    </xf>
    <xf numFmtId="4" fontId="17" fillId="0" borderId="10" xfId="0" applyNumberFormat="1" applyFont="1" applyFill="1" applyBorder="1" applyAlignment="1">
      <alignment horizontal="center" vertical="center"/>
    </xf>
    <xf numFmtId="167" fontId="17" fillId="0" borderId="0" xfId="0" applyNumberFormat="1" applyFont="1" applyFill="1" applyAlignment="1">
      <alignment horizontal="center" vertical="center"/>
    </xf>
    <xf numFmtId="167" fontId="17" fillId="0" borderId="0" xfId="0" applyNumberFormat="1" applyFont="1" applyFill="1" applyBorder="1" applyAlignment="1">
      <alignment horizontal="center" vertical="center"/>
    </xf>
    <xf numFmtId="167" fontId="17" fillId="0" borderId="2" xfId="0" applyNumberFormat="1" applyFont="1" applyFill="1" applyBorder="1" applyAlignment="1">
      <alignment horizontal="center" vertical="center"/>
    </xf>
    <xf numFmtId="168" fontId="17" fillId="0" borderId="36" xfId="0" applyNumberFormat="1" applyFont="1" applyFill="1" applyBorder="1" applyAlignment="1">
      <alignment horizontal="center" vertical="center"/>
    </xf>
    <xf numFmtId="0" fontId="22" fillId="0" borderId="0" xfId="0" applyFont="1" applyAlignment="1">
      <alignment horizontal="center" vertical="center"/>
    </xf>
    <xf numFmtId="0" fontId="17" fillId="0" borderId="37" xfId="0" applyFont="1" applyBorder="1" applyAlignment="1">
      <alignment horizontal="center" vertical="center"/>
    </xf>
    <xf numFmtId="168" fontId="17" fillId="0" borderId="45" xfId="0" applyNumberFormat="1" applyFont="1" applyBorder="1" applyAlignment="1">
      <alignment horizontal="center" vertical="center"/>
    </xf>
    <xf numFmtId="2" fontId="17" fillId="0" borderId="0" xfId="2" applyNumberFormat="1" applyFont="1" applyAlignment="1">
      <alignment horizontal="center" vertical="center"/>
    </xf>
    <xf numFmtId="0" fontId="4" fillId="9" borderId="11" xfId="0" applyFont="1" applyFill="1" applyBorder="1" applyAlignment="1" applyProtection="1">
      <alignment horizontal="centerContinuous" vertical="center"/>
      <protection locked="0"/>
    </xf>
    <xf numFmtId="0" fontId="11" fillId="9" borderId="17" xfId="0" applyFont="1" applyFill="1" applyBorder="1" applyAlignment="1">
      <alignment horizontal="centerContinuous" vertical="center"/>
    </xf>
    <xf numFmtId="0" fontId="11" fillId="9" borderId="12" xfId="0" applyFont="1" applyFill="1" applyBorder="1" applyAlignment="1">
      <alignment horizontal="centerContinuous" vertical="center"/>
    </xf>
    <xf numFmtId="4" fontId="4" fillId="9" borderId="4" xfId="0" applyNumberFormat="1" applyFont="1" applyFill="1" applyBorder="1" applyAlignment="1" applyProtection="1">
      <alignment horizontal="center" vertical="center"/>
      <protection locked="0"/>
    </xf>
    <xf numFmtId="172" fontId="4" fillId="9" borderId="4" xfId="0" applyNumberFormat="1" applyFont="1" applyFill="1" applyBorder="1" applyAlignment="1" applyProtection="1">
      <alignment horizontal="center" vertical="center"/>
      <protection locked="0"/>
    </xf>
    <xf numFmtId="164" fontId="4" fillId="9" borderId="4" xfId="1" applyNumberFormat="1" applyFont="1" applyFill="1" applyBorder="1" applyAlignment="1" applyProtection="1">
      <alignment horizontal="center" vertical="center"/>
      <protection locked="0"/>
    </xf>
    <xf numFmtId="0" fontId="4" fillId="9" borderId="4" xfId="0" applyFont="1" applyFill="1" applyBorder="1" applyAlignment="1" applyProtection="1">
      <alignment horizontal="center" vertical="center"/>
      <protection locked="0"/>
    </xf>
    <xf numFmtId="10" fontId="4" fillId="9" borderId="4" xfId="1" applyNumberFormat="1" applyFont="1" applyFill="1" applyBorder="1" applyAlignment="1" applyProtection="1">
      <alignment horizontal="center" vertical="center"/>
      <protection locked="0"/>
    </xf>
    <xf numFmtId="37" fontId="4" fillId="9" borderId="4" xfId="0" applyNumberFormat="1" applyFont="1" applyFill="1" applyBorder="1" applyAlignment="1" applyProtection="1">
      <alignment horizontal="center" vertical="center"/>
      <protection locked="0"/>
    </xf>
    <xf numFmtId="0" fontId="16" fillId="10" borderId="50" xfId="0" applyFont="1" applyFill="1" applyBorder="1" applyAlignment="1">
      <alignment horizontal="centerContinuous" vertical="center"/>
    </xf>
    <xf numFmtId="0" fontId="16" fillId="10" borderId="51" xfId="0" applyFont="1" applyFill="1" applyBorder="1" applyAlignment="1">
      <alignment horizontal="centerContinuous" vertical="center"/>
    </xf>
    <xf numFmtId="0" fontId="16" fillId="10" borderId="52" xfId="0" applyFont="1" applyFill="1" applyBorder="1" applyAlignment="1">
      <alignment horizontal="centerContinuous" vertical="center"/>
    </xf>
    <xf numFmtId="0" fontId="17" fillId="10" borderId="34" xfId="2" applyFont="1" applyFill="1" applyBorder="1" applyAlignment="1">
      <alignment horizontal="center" vertical="center"/>
    </xf>
    <xf numFmtId="0" fontId="17" fillId="10" borderId="5" xfId="2" applyFont="1" applyFill="1" applyBorder="1" applyAlignment="1">
      <alignment horizontal="center" vertical="center"/>
    </xf>
    <xf numFmtId="0" fontId="17" fillId="10" borderId="29" xfId="0" applyFont="1" applyFill="1" applyBorder="1" applyAlignment="1">
      <alignment horizontal="center" vertical="center"/>
    </xf>
    <xf numFmtId="167" fontId="17" fillId="10" borderId="13" xfId="0" applyNumberFormat="1" applyFont="1" applyFill="1" applyBorder="1" applyAlignment="1">
      <alignment horizontal="center" vertical="center"/>
    </xf>
    <xf numFmtId="167" fontId="17" fillId="10" borderId="5" xfId="0" applyNumberFormat="1" applyFont="1" applyFill="1" applyBorder="1" applyAlignment="1">
      <alignment horizontal="center" vertical="center"/>
    </xf>
    <xf numFmtId="167" fontId="17" fillId="10" borderId="29" xfId="0" applyNumberFormat="1" applyFont="1" applyFill="1" applyBorder="1" applyAlignment="1">
      <alignment horizontal="center" vertical="center"/>
    </xf>
    <xf numFmtId="2" fontId="17" fillId="10" borderId="13" xfId="0" applyNumberFormat="1" applyFont="1" applyFill="1" applyBorder="1" applyAlignment="1">
      <alignment horizontal="center" vertical="center"/>
    </xf>
    <xf numFmtId="2" fontId="17" fillId="10" borderId="28" xfId="0" applyNumberFormat="1" applyFont="1" applyFill="1" applyBorder="1" applyAlignment="1">
      <alignment horizontal="center" vertical="center"/>
    </xf>
    <xf numFmtId="0" fontId="17" fillId="10" borderId="20" xfId="2" applyFont="1" applyFill="1" applyBorder="1" applyAlignment="1">
      <alignment horizontal="center" vertical="center"/>
    </xf>
    <xf numFmtId="0" fontId="17" fillId="10" borderId="3" xfId="2" applyFont="1" applyFill="1" applyBorder="1" applyAlignment="1">
      <alignment horizontal="center" vertical="center"/>
    </xf>
    <xf numFmtId="0" fontId="17" fillId="10" borderId="16" xfId="0" applyFont="1" applyFill="1" applyBorder="1" applyAlignment="1">
      <alignment horizontal="center" vertical="center"/>
    </xf>
    <xf numFmtId="167" fontId="17" fillId="10" borderId="10" xfId="0" applyNumberFormat="1" applyFont="1" applyFill="1" applyBorder="1" applyAlignment="1">
      <alignment horizontal="center" vertical="center"/>
    </xf>
    <xf numFmtId="167" fontId="17" fillId="10" borderId="3" xfId="0" applyNumberFormat="1" applyFont="1" applyFill="1" applyBorder="1" applyAlignment="1">
      <alignment horizontal="center" vertical="center"/>
    </xf>
    <xf numFmtId="167" fontId="17" fillId="10" borderId="16" xfId="0" applyNumberFormat="1" applyFont="1" applyFill="1" applyBorder="1" applyAlignment="1">
      <alignment horizontal="center" vertical="center"/>
    </xf>
    <xf numFmtId="2" fontId="17" fillId="10" borderId="10" xfId="0" applyNumberFormat="1" applyFont="1" applyFill="1" applyBorder="1" applyAlignment="1">
      <alignment horizontal="center" vertical="center"/>
    </xf>
    <xf numFmtId="2" fontId="17" fillId="10" borderId="32" xfId="0" applyNumberFormat="1" applyFont="1" applyFill="1" applyBorder="1" applyAlignment="1">
      <alignment horizontal="center" vertical="center"/>
    </xf>
    <xf numFmtId="0" fontId="18" fillId="11" borderId="4" xfId="2" applyFont="1" applyFill="1" applyBorder="1" applyAlignment="1">
      <alignment horizontal="center" vertical="center"/>
    </xf>
    <xf numFmtId="0" fontId="18" fillId="11" borderId="18" xfId="2" applyFont="1" applyFill="1" applyBorder="1" applyAlignment="1">
      <alignment horizontal="center" vertical="center"/>
    </xf>
    <xf numFmtId="0" fontId="18" fillId="11" borderId="7" xfId="2" applyFont="1" applyFill="1" applyBorder="1" applyAlignment="1">
      <alignment horizontal="center" vertical="center"/>
    </xf>
    <xf numFmtId="167" fontId="18" fillId="11" borderId="11" xfId="2" applyNumberFormat="1" applyFont="1" applyFill="1" applyBorder="1" applyAlignment="1">
      <alignment horizontal="centerContinuous" vertical="center"/>
    </xf>
    <xf numFmtId="167" fontId="18" fillId="11" borderId="17" xfId="2" applyNumberFormat="1" applyFont="1" applyFill="1" applyBorder="1" applyAlignment="1">
      <alignment horizontal="centerContinuous" vertical="center"/>
    </xf>
    <xf numFmtId="167" fontId="18" fillId="11" borderId="12" xfId="2" applyNumberFormat="1" applyFont="1" applyFill="1" applyBorder="1" applyAlignment="1">
      <alignment horizontal="centerContinuous" vertical="center"/>
    </xf>
    <xf numFmtId="0" fontId="18" fillId="11" borderId="11" xfId="2" applyFont="1" applyFill="1" applyBorder="1" applyAlignment="1">
      <alignment horizontal="centerContinuous" vertical="center"/>
    </xf>
    <xf numFmtId="0" fontId="18" fillId="11" borderId="12" xfId="2" applyFont="1" applyFill="1" applyBorder="1" applyAlignment="1">
      <alignment horizontal="centerContinuous" vertical="center"/>
    </xf>
    <xf numFmtId="0" fontId="18" fillId="12" borderId="33" xfId="2" applyFont="1" applyFill="1" applyBorder="1" applyAlignment="1">
      <alignment horizontal="center" vertical="center"/>
    </xf>
    <xf numFmtId="0" fontId="18" fillId="12" borderId="9" xfId="2" applyFont="1" applyFill="1" applyBorder="1" applyAlignment="1">
      <alignment horizontal="center" vertical="center"/>
    </xf>
    <xf numFmtId="0" fontId="18" fillId="12" borderId="12" xfId="0" applyFont="1" applyFill="1" applyBorder="1" applyAlignment="1">
      <alignment horizontal="center" vertical="center"/>
    </xf>
    <xf numFmtId="167" fontId="18" fillId="12" borderId="11" xfId="0" applyNumberFormat="1" applyFont="1" applyFill="1" applyBorder="1" applyAlignment="1">
      <alignment horizontal="center" vertical="center"/>
    </xf>
    <xf numFmtId="167" fontId="18" fillId="12" borderId="9" xfId="0" applyNumberFormat="1" applyFont="1" applyFill="1" applyBorder="1" applyAlignment="1">
      <alignment horizontal="center" vertical="center"/>
    </xf>
    <xf numFmtId="167" fontId="18" fillId="12" borderId="12" xfId="0" applyNumberFormat="1" applyFont="1" applyFill="1" applyBorder="1" applyAlignment="1">
      <alignment horizontal="center" vertical="center"/>
    </xf>
    <xf numFmtId="0" fontId="18" fillId="12" borderId="11" xfId="0" applyFont="1" applyFill="1" applyBorder="1" applyAlignment="1">
      <alignment horizontal="center" vertical="center"/>
    </xf>
    <xf numFmtId="2" fontId="18" fillId="12" borderId="30" xfId="0" applyNumberFormat="1" applyFont="1" applyFill="1" applyBorder="1" applyAlignment="1">
      <alignment horizontal="center" vertical="center"/>
    </xf>
    <xf numFmtId="0" fontId="18" fillId="13" borderId="33" xfId="2" applyFont="1" applyFill="1" applyBorder="1" applyAlignment="1">
      <alignment horizontal="center" vertical="center"/>
    </xf>
    <xf numFmtId="0" fontId="18" fillId="13" borderId="9" xfId="2" applyFont="1" applyFill="1" applyBorder="1" applyAlignment="1">
      <alignment horizontal="center" vertical="center"/>
    </xf>
    <xf numFmtId="0" fontId="18" fillId="13" borderId="12" xfId="0" applyFont="1" applyFill="1" applyBorder="1" applyAlignment="1">
      <alignment horizontal="center" vertical="center"/>
    </xf>
    <xf numFmtId="167" fontId="18" fillId="13" borderId="11" xfId="0" applyNumberFormat="1" applyFont="1" applyFill="1" applyBorder="1" applyAlignment="1">
      <alignment horizontal="center" vertical="center"/>
    </xf>
    <xf numFmtId="167" fontId="18" fillId="13" borderId="9" xfId="0" applyNumberFormat="1" applyFont="1" applyFill="1" applyBorder="1" applyAlignment="1">
      <alignment horizontal="center" vertical="center"/>
    </xf>
    <xf numFmtId="167" fontId="18" fillId="13" borderId="12" xfId="0" applyNumberFormat="1" applyFont="1" applyFill="1" applyBorder="1" applyAlignment="1">
      <alignment horizontal="center" vertical="center"/>
    </xf>
    <xf numFmtId="168" fontId="18" fillId="13" borderId="11" xfId="0" applyNumberFormat="1" applyFont="1" applyFill="1" applyBorder="1" applyAlignment="1">
      <alignment horizontal="center" vertical="center"/>
    </xf>
    <xf numFmtId="168" fontId="18" fillId="13" borderId="30" xfId="0" applyNumberFormat="1" applyFont="1" applyFill="1" applyBorder="1" applyAlignment="1">
      <alignment horizontal="center" vertical="center"/>
    </xf>
    <xf numFmtId="0" fontId="17" fillId="9" borderId="34" xfId="2" applyFont="1" applyFill="1" applyBorder="1" applyAlignment="1">
      <alignment horizontal="center" vertical="center"/>
    </xf>
    <xf numFmtId="0" fontId="17" fillId="9" borderId="5" xfId="2" applyFont="1" applyFill="1" applyBorder="1" applyAlignment="1">
      <alignment horizontal="center" vertical="center"/>
    </xf>
    <xf numFmtId="0" fontId="17" fillId="9" borderId="29" xfId="0" applyFont="1" applyFill="1" applyBorder="1" applyAlignment="1">
      <alignment horizontal="center" vertical="center"/>
    </xf>
    <xf numFmtId="167" fontId="17" fillId="9" borderId="13" xfId="0" applyNumberFormat="1" applyFont="1" applyFill="1" applyBorder="1" applyAlignment="1">
      <alignment horizontal="center" vertical="center"/>
    </xf>
    <xf numFmtId="167" fontId="17" fillId="9" borderId="5" xfId="0" applyNumberFormat="1" applyFont="1" applyFill="1" applyBorder="1" applyAlignment="1">
      <alignment horizontal="center" vertical="center"/>
    </xf>
    <xf numFmtId="167" fontId="17" fillId="9" borderId="29" xfId="0" applyNumberFormat="1" applyFont="1" applyFill="1" applyBorder="1" applyAlignment="1">
      <alignment horizontal="center" vertical="center"/>
    </xf>
    <xf numFmtId="4" fontId="17" fillId="9" borderId="13" xfId="0" applyNumberFormat="1" applyFont="1" applyFill="1" applyBorder="1" applyAlignment="1">
      <alignment horizontal="center" vertical="center"/>
    </xf>
    <xf numFmtId="4" fontId="17" fillId="9" borderId="28" xfId="0" applyNumberFormat="1" applyFont="1" applyFill="1" applyBorder="1" applyAlignment="1">
      <alignment horizontal="center" vertical="center"/>
    </xf>
    <xf numFmtId="0" fontId="17" fillId="9" borderId="20" xfId="2" applyFont="1" applyFill="1" applyBorder="1" applyAlignment="1">
      <alignment horizontal="center" vertical="center"/>
    </xf>
    <xf numFmtId="0" fontId="17" fillId="9" borderId="3" xfId="2" applyFont="1" applyFill="1" applyBorder="1" applyAlignment="1">
      <alignment horizontal="center" vertical="center"/>
    </xf>
    <xf numFmtId="0" fontId="17" fillId="9" borderId="16" xfId="0" applyFont="1" applyFill="1" applyBorder="1" applyAlignment="1">
      <alignment horizontal="center" vertical="center"/>
    </xf>
    <xf numFmtId="167" fontId="17" fillId="9" borderId="10" xfId="0" applyNumberFormat="1" applyFont="1" applyFill="1" applyBorder="1" applyAlignment="1">
      <alignment horizontal="center" vertical="center"/>
    </xf>
    <xf numFmtId="167" fontId="17" fillId="9" borderId="3" xfId="0" applyNumberFormat="1" applyFont="1" applyFill="1" applyBorder="1" applyAlignment="1">
      <alignment horizontal="center" vertical="center"/>
    </xf>
    <xf numFmtId="167" fontId="17" fillId="9" borderId="16" xfId="0" applyNumberFormat="1" applyFont="1" applyFill="1" applyBorder="1" applyAlignment="1">
      <alignment horizontal="center" vertical="center"/>
    </xf>
    <xf numFmtId="4" fontId="17" fillId="9" borderId="10" xfId="0" applyNumberFormat="1" applyFont="1" applyFill="1" applyBorder="1" applyAlignment="1">
      <alignment horizontal="center" vertical="center"/>
    </xf>
    <xf numFmtId="4" fontId="17" fillId="9" borderId="32" xfId="0" applyNumberFormat="1" applyFont="1" applyFill="1" applyBorder="1" applyAlignment="1">
      <alignment horizontal="center" vertical="center"/>
    </xf>
    <xf numFmtId="0" fontId="18" fillId="14" borderId="4" xfId="2" applyFont="1" applyFill="1" applyBorder="1" applyAlignment="1">
      <alignment horizontal="center" vertical="center"/>
    </xf>
    <xf numFmtId="0" fontId="22" fillId="15" borderId="4" xfId="2" applyFont="1" applyFill="1" applyBorder="1" applyAlignment="1">
      <alignment horizontal="center" vertical="center"/>
    </xf>
    <xf numFmtId="0" fontId="17" fillId="16" borderId="33" xfId="2" applyFont="1" applyFill="1" applyBorder="1" applyAlignment="1">
      <alignment horizontal="center" vertical="center"/>
    </xf>
    <xf numFmtId="0" fontId="17" fillId="16" borderId="9" xfId="2" applyFont="1" applyFill="1" applyBorder="1" applyAlignment="1">
      <alignment horizontal="center" vertical="center"/>
    </xf>
    <xf numFmtId="0" fontId="17" fillId="16" borderId="12" xfId="0" applyFont="1" applyFill="1" applyBorder="1" applyAlignment="1">
      <alignment horizontal="center" vertical="center"/>
    </xf>
    <xf numFmtId="10" fontId="21" fillId="16" borderId="11" xfId="1" applyNumberFormat="1" applyFont="1" applyFill="1" applyBorder="1" applyAlignment="1">
      <alignment horizontal="center" vertical="center"/>
    </xf>
    <xf numFmtId="167" fontId="17" fillId="16" borderId="9" xfId="0" applyNumberFormat="1" applyFont="1" applyFill="1" applyBorder="1" applyAlignment="1">
      <alignment horizontal="center" vertical="center"/>
    </xf>
    <xf numFmtId="168" fontId="17" fillId="16" borderId="12" xfId="0" applyNumberFormat="1" applyFont="1" applyFill="1" applyBorder="1" applyAlignment="1">
      <alignment horizontal="center" vertical="center"/>
    </xf>
    <xf numFmtId="4" fontId="17" fillId="16" borderId="11" xfId="0" applyNumberFormat="1" applyFont="1" applyFill="1" applyBorder="1" applyAlignment="1">
      <alignment horizontal="center" vertical="center"/>
    </xf>
    <xf numFmtId="4" fontId="17" fillId="16" borderId="30" xfId="0" applyNumberFormat="1" applyFont="1" applyFill="1" applyBorder="1" applyAlignment="1">
      <alignment horizontal="center" vertical="center"/>
    </xf>
    <xf numFmtId="0" fontId="17" fillId="17" borderId="4" xfId="2" applyFont="1" applyFill="1" applyBorder="1" applyAlignment="1">
      <alignment horizontal="center" vertical="center"/>
    </xf>
    <xf numFmtId="0" fontId="17" fillId="17" borderId="19" xfId="2" applyFont="1" applyFill="1" applyBorder="1" applyAlignment="1">
      <alignment horizontal="center" vertical="center"/>
    </xf>
    <xf numFmtId="0" fontId="17" fillId="17" borderId="17" xfId="2" applyFont="1" applyFill="1" applyBorder="1" applyAlignment="1">
      <alignment horizontal="center" vertical="center"/>
    </xf>
    <xf numFmtId="0" fontId="17" fillId="17" borderId="30" xfId="0" applyFont="1" applyFill="1" applyBorder="1" applyAlignment="1">
      <alignment horizontal="center" vertical="center"/>
    </xf>
    <xf numFmtId="167" fontId="17" fillId="17" borderId="11" xfId="0" applyNumberFormat="1" applyFont="1" applyFill="1" applyBorder="1" applyAlignment="1">
      <alignment horizontal="center" vertical="center"/>
    </xf>
    <xf numFmtId="167" fontId="17" fillId="17" borderId="9" xfId="0" applyNumberFormat="1" applyFont="1" applyFill="1" applyBorder="1" applyAlignment="1">
      <alignment horizontal="center" vertical="center"/>
    </xf>
    <xf numFmtId="167" fontId="17" fillId="17" borderId="12" xfId="0" applyNumberFormat="1" applyFont="1" applyFill="1" applyBorder="1" applyAlignment="1">
      <alignment horizontal="center" vertical="center"/>
    </xf>
    <xf numFmtId="4" fontId="17" fillId="17" borderId="11" xfId="0" applyNumberFormat="1" applyFont="1" applyFill="1" applyBorder="1" applyAlignment="1">
      <alignment horizontal="center" vertical="center"/>
    </xf>
    <xf numFmtId="4" fontId="17" fillId="17" borderId="30" xfId="0" applyNumberFormat="1" applyFont="1" applyFill="1" applyBorder="1" applyAlignment="1">
      <alignment horizontal="center" vertical="center"/>
    </xf>
    <xf numFmtId="0" fontId="17" fillId="17" borderId="9" xfId="2" applyFont="1" applyFill="1" applyBorder="1" applyAlignment="1">
      <alignment horizontal="center" vertical="center"/>
    </xf>
    <xf numFmtId="0" fontId="17" fillId="17" borderId="12" xfId="0" applyFont="1" applyFill="1" applyBorder="1" applyAlignment="1">
      <alignment horizontal="center" vertical="center"/>
    </xf>
    <xf numFmtId="171" fontId="17" fillId="17" borderId="12" xfId="0" applyNumberFormat="1" applyFont="1" applyFill="1" applyBorder="1" applyAlignment="1">
      <alignment horizontal="center" vertical="center"/>
    </xf>
    <xf numFmtId="0" fontId="17" fillId="17" borderId="11" xfId="0" applyFont="1" applyFill="1" applyBorder="1" applyAlignment="1">
      <alignment horizontal="center" vertical="center"/>
    </xf>
    <xf numFmtId="0" fontId="17" fillId="17" borderId="21" xfId="2" applyFont="1" applyFill="1" applyBorder="1" applyAlignment="1">
      <alignment horizontal="center" vertical="center"/>
    </xf>
    <xf numFmtId="0" fontId="17" fillId="17" borderId="22" xfId="2" applyFont="1" applyFill="1" applyBorder="1" applyAlignment="1">
      <alignment horizontal="center" vertical="center"/>
    </xf>
    <xf numFmtId="0" fontId="17" fillId="17" borderId="23" xfId="0" applyFont="1" applyFill="1" applyBorder="1" applyAlignment="1">
      <alignment horizontal="center" vertical="center"/>
    </xf>
    <xf numFmtId="4" fontId="17" fillId="17" borderId="24" xfId="0" applyNumberFormat="1" applyFont="1" applyFill="1" applyBorder="1" applyAlignment="1">
      <alignment horizontal="center" vertical="center"/>
    </xf>
    <xf numFmtId="4" fontId="17" fillId="17" borderId="23" xfId="0" applyNumberFormat="1" applyFont="1" applyFill="1" applyBorder="1" applyAlignment="1">
      <alignment horizontal="center" vertical="center"/>
    </xf>
    <xf numFmtId="10" fontId="17" fillId="17" borderId="24" xfId="1" applyNumberFormat="1" applyFont="1" applyFill="1" applyBorder="1" applyAlignment="1">
      <alignment horizontal="center" vertical="center"/>
    </xf>
    <xf numFmtId="167" fontId="17" fillId="17" borderId="25" xfId="0" applyNumberFormat="1" applyFont="1" applyFill="1" applyBorder="1" applyAlignment="1">
      <alignment horizontal="center" vertical="center"/>
    </xf>
    <xf numFmtId="167" fontId="17" fillId="17" borderId="26" xfId="0" applyNumberFormat="1" applyFont="1" applyFill="1" applyBorder="1" applyAlignment="1">
      <alignment horizontal="center" vertical="center"/>
    </xf>
    <xf numFmtId="0" fontId="17" fillId="16" borderId="21" xfId="2" applyFont="1" applyFill="1" applyBorder="1" applyAlignment="1">
      <alignment horizontal="center" vertical="center"/>
    </xf>
    <xf numFmtId="0" fontId="17" fillId="16" borderId="22" xfId="2" applyFont="1" applyFill="1" applyBorder="1" applyAlignment="1">
      <alignment horizontal="center" vertical="center"/>
    </xf>
    <xf numFmtId="0" fontId="17" fillId="16" borderId="23" xfId="0" applyFont="1" applyFill="1" applyBorder="1" applyAlignment="1">
      <alignment horizontal="center" vertical="center"/>
    </xf>
    <xf numFmtId="0" fontId="17" fillId="16" borderId="31" xfId="2" applyFont="1" applyFill="1" applyBorder="1" applyAlignment="1">
      <alignment horizontal="center" vertical="center"/>
    </xf>
    <xf numFmtId="0" fontId="17" fillId="16" borderId="2" xfId="2" applyFont="1" applyFill="1" applyBorder="1" applyAlignment="1">
      <alignment horizontal="center" vertical="center"/>
    </xf>
    <xf numFmtId="0" fontId="17" fillId="16" borderId="32" xfId="0" applyFont="1" applyFill="1" applyBorder="1" applyAlignment="1">
      <alignment horizontal="center" vertical="center"/>
    </xf>
    <xf numFmtId="167" fontId="21" fillId="16" borderId="24" xfId="0" applyNumberFormat="1" applyFont="1" applyFill="1" applyBorder="1" applyAlignment="1">
      <alignment horizontal="centerContinuous" vertical="center"/>
    </xf>
    <xf numFmtId="167" fontId="21" fillId="16" borderId="22" xfId="0" applyNumberFormat="1" applyFont="1" applyFill="1" applyBorder="1" applyAlignment="1">
      <alignment horizontal="centerContinuous" vertical="center"/>
    </xf>
    <xf numFmtId="167" fontId="21" fillId="16" borderId="26" xfId="0" applyNumberFormat="1" applyFont="1" applyFill="1" applyBorder="1" applyAlignment="1">
      <alignment horizontal="centerContinuous" vertical="center"/>
    </xf>
    <xf numFmtId="4" fontId="17" fillId="16" borderId="10" xfId="0" applyNumberFormat="1" applyFont="1" applyFill="1" applyBorder="1" applyAlignment="1">
      <alignment horizontal="center" vertical="center"/>
    </xf>
    <xf numFmtId="167" fontId="17" fillId="16" borderId="3" xfId="0" applyNumberFormat="1" applyFont="1" applyFill="1" applyBorder="1" applyAlignment="1">
      <alignment horizontal="center" vertical="center"/>
    </xf>
    <xf numFmtId="167" fontId="17" fillId="16" borderId="16" xfId="0" applyNumberFormat="1" applyFont="1" applyFill="1" applyBorder="1" applyAlignment="1">
      <alignment horizontal="center" vertical="center"/>
    </xf>
    <xf numFmtId="4" fontId="17" fillId="16" borderId="24" xfId="0" applyNumberFormat="1" applyFont="1" applyFill="1" applyBorder="1" applyAlignment="1">
      <alignment horizontal="center" vertical="center"/>
    </xf>
    <xf numFmtId="4" fontId="17" fillId="16" borderId="23" xfId="0" applyNumberFormat="1" applyFont="1" applyFill="1" applyBorder="1" applyAlignment="1">
      <alignment horizontal="center" vertical="center"/>
    </xf>
    <xf numFmtId="4" fontId="17" fillId="16" borderId="32" xfId="0" applyNumberFormat="1" applyFont="1" applyFill="1" applyBorder="1" applyAlignment="1">
      <alignment horizontal="center" vertical="center"/>
    </xf>
    <xf numFmtId="0" fontId="17" fillId="16" borderId="17" xfId="2" applyFont="1" applyFill="1" applyBorder="1" applyAlignment="1">
      <alignment horizontal="center" vertical="center"/>
    </xf>
    <xf numFmtId="171" fontId="17" fillId="16" borderId="11" xfId="0" applyNumberFormat="1" applyFont="1" applyFill="1" applyBorder="1" applyAlignment="1">
      <alignment horizontal="center" vertical="center"/>
    </xf>
    <xf numFmtId="168" fontId="17" fillId="16" borderId="9" xfId="0" applyNumberFormat="1" applyFont="1" applyFill="1" applyBorder="1" applyAlignment="1">
      <alignment horizontal="center" vertical="center"/>
    </xf>
    <xf numFmtId="171" fontId="17" fillId="16" borderId="12" xfId="0" applyNumberFormat="1" applyFont="1" applyFill="1" applyBorder="1" applyAlignment="1">
      <alignment horizontal="center" vertical="center"/>
    </xf>
    <xf numFmtId="4" fontId="17" fillId="17" borderId="12" xfId="0" applyNumberFormat="1" applyFont="1" applyFill="1" applyBorder="1" applyAlignment="1">
      <alignment horizontal="center" vertical="center"/>
    </xf>
    <xf numFmtId="167" fontId="17" fillId="16" borderId="44" xfId="0" applyNumberFormat="1" applyFont="1" applyFill="1" applyBorder="1" applyAlignment="1">
      <alignment horizontal="center" vertical="center"/>
    </xf>
    <xf numFmtId="167" fontId="17" fillId="16" borderId="45" xfId="0" applyNumberFormat="1" applyFont="1" applyFill="1" applyBorder="1" applyAlignment="1">
      <alignment horizontal="center" vertical="center"/>
    </xf>
    <xf numFmtId="167" fontId="17" fillId="16" borderId="46" xfId="0" applyNumberFormat="1" applyFont="1" applyFill="1" applyBorder="1" applyAlignment="1">
      <alignment horizontal="center" vertical="center"/>
    </xf>
    <xf numFmtId="2" fontId="17" fillId="16" borderId="10" xfId="0" applyNumberFormat="1" applyFont="1" applyFill="1" applyBorder="1" applyAlignment="1">
      <alignment horizontal="center" vertical="center"/>
    </xf>
    <xf numFmtId="0" fontId="18" fillId="15" borderId="18" xfId="2" applyFont="1" applyFill="1" applyBorder="1" applyAlignment="1">
      <alignment horizontal="center" vertical="center"/>
    </xf>
    <xf numFmtId="0" fontId="18" fillId="15" borderId="7" xfId="2" applyFont="1" applyFill="1" applyBorder="1" applyAlignment="1">
      <alignment horizontal="center" vertical="center"/>
    </xf>
    <xf numFmtId="0" fontId="18" fillId="15" borderId="4" xfId="2" applyFont="1" applyFill="1" applyBorder="1" applyAlignment="1">
      <alignment horizontal="center" vertical="center"/>
    </xf>
    <xf numFmtId="0" fontId="18" fillId="15" borderId="49" xfId="2" applyFont="1" applyFill="1" applyBorder="1" applyAlignment="1">
      <alignment horizontal="center" vertical="center"/>
    </xf>
    <xf numFmtId="0" fontId="0" fillId="17" borderId="1" xfId="0" applyFill="1" applyBorder="1" applyAlignment="1" applyProtection="1">
      <alignment horizontal="center"/>
    </xf>
    <xf numFmtId="0" fontId="0" fillId="17" borderId="3" xfId="0" applyFill="1" applyBorder="1" applyAlignment="1" applyProtection="1">
      <alignment horizontal="center"/>
    </xf>
    <xf numFmtId="0" fontId="0" fillId="17" borderId="5" xfId="0" applyFill="1" applyBorder="1" applyProtection="1"/>
    <xf numFmtId="4" fontId="5" fillId="17" borderId="5" xfId="0" applyNumberFormat="1" applyFont="1" applyFill="1" applyBorder="1" applyProtection="1"/>
    <xf numFmtId="4" fontId="0" fillId="17" borderId="5" xfId="0" applyNumberFormat="1" applyFill="1" applyBorder="1" applyAlignment="1" applyProtection="1">
      <alignment horizontal="center"/>
    </xf>
    <xf numFmtId="4" fontId="5" fillId="17" borderId="5" xfId="0" applyNumberFormat="1" applyFont="1" applyFill="1" applyBorder="1" applyAlignment="1" applyProtection="1">
      <alignment horizontal="center"/>
    </xf>
    <xf numFmtId="4" fontId="6" fillId="17" borderId="5" xfId="0" applyNumberFormat="1" applyFont="1" applyFill="1" applyBorder="1" applyAlignment="1" applyProtection="1">
      <alignment horizontal="center"/>
    </xf>
    <xf numFmtId="0" fontId="0" fillId="17" borderId="3" xfId="0" applyFill="1" applyBorder="1" applyProtection="1"/>
    <xf numFmtId="0" fontId="20" fillId="11" borderId="8" xfId="0" applyFont="1" applyFill="1" applyBorder="1" applyAlignment="1" applyProtection="1">
      <alignment horizontal="center" vertical="center"/>
    </xf>
    <xf numFmtId="4" fontId="20" fillId="11" borderId="15" xfId="0" applyNumberFormat="1" applyFont="1" applyFill="1" applyBorder="1" applyAlignment="1" applyProtection="1">
      <alignment horizontal="right" vertical="center" indent="1"/>
    </xf>
    <xf numFmtId="0" fontId="20" fillId="11" borderId="2" xfId="0" applyFont="1" applyFill="1" applyBorder="1" applyAlignment="1" applyProtection="1">
      <alignment horizontal="center" vertical="center"/>
    </xf>
    <xf numFmtId="4" fontId="20" fillId="11" borderId="16" xfId="0" applyNumberFormat="1" applyFont="1" applyFill="1" applyBorder="1" applyAlignment="1" applyProtection="1">
      <alignment horizontal="right" vertical="center" indent="1"/>
    </xf>
    <xf numFmtId="164" fontId="20" fillId="11" borderId="4" xfId="1" applyNumberFormat="1" applyFont="1" applyFill="1" applyBorder="1" applyAlignment="1" applyProtection="1">
      <alignment horizontal="center" vertical="center"/>
    </xf>
    <xf numFmtId="4" fontId="9" fillId="9" borderId="0" xfId="0" applyNumberFormat="1" applyFont="1" applyFill="1" applyAlignment="1" applyProtection="1">
      <alignment horizontal="center"/>
    </xf>
    <xf numFmtId="0" fontId="0" fillId="12" borderId="0" xfId="0" applyFill="1"/>
    <xf numFmtId="0" fontId="0" fillId="14" borderId="0" xfId="0" applyFill="1"/>
    <xf numFmtId="0" fontId="4" fillId="0" borderId="0" xfId="0" applyFont="1" applyAlignment="1">
      <alignment horizontal="center" vertical="center" wrapText="1"/>
    </xf>
    <xf numFmtId="0" fontId="18" fillId="11" borderId="18" xfId="2" applyFont="1" applyFill="1" applyBorder="1" applyAlignment="1">
      <alignment horizontal="center" vertical="center" wrapText="1"/>
    </xf>
    <xf numFmtId="0" fontId="20" fillId="11" borderId="6" xfId="2" applyFont="1" applyFill="1" applyBorder="1" applyAlignment="1">
      <alignment horizontal="center" vertical="center" wrapText="1"/>
    </xf>
    <xf numFmtId="0" fontId="20" fillId="11" borderId="7" xfId="2" applyFont="1" applyFill="1" applyBorder="1" applyAlignment="1">
      <alignment horizontal="center" vertical="center" wrapText="1"/>
    </xf>
    <xf numFmtId="0" fontId="17" fillId="0" borderId="18" xfId="2" applyFont="1" applyBorder="1" applyAlignment="1">
      <alignment horizontal="center" vertical="center" wrapText="1"/>
    </xf>
    <xf numFmtId="0" fontId="17" fillId="0" borderId="7" xfId="2" applyFont="1" applyBorder="1" applyAlignment="1">
      <alignment horizontal="center" vertical="center" wrapText="1"/>
    </xf>
    <xf numFmtId="0" fontId="9" fillId="11" borderId="6" xfId="2" applyFont="1" applyFill="1" applyBorder="1" applyAlignment="1">
      <alignment horizontal="center" vertical="center" wrapText="1"/>
    </xf>
    <xf numFmtId="0" fontId="9" fillId="11" borderId="7" xfId="2" applyFont="1" applyFill="1" applyBorder="1" applyAlignment="1">
      <alignment horizontal="center" vertical="center" wrapText="1"/>
    </xf>
    <xf numFmtId="0" fontId="18" fillId="12" borderId="18" xfId="2" applyFont="1" applyFill="1" applyBorder="1" applyAlignment="1">
      <alignment horizontal="center" vertical="center"/>
    </xf>
    <xf numFmtId="0" fontId="18" fillId="12" borderId="6" xfId="2" applyFont="1" applyFill="1" applyBorder="1" applyAlignment="1">
      <alignment horizontal="center" vertical="center"/>
    </xf>
    <xf numFmtId="0" fontId="18" fillId="12" borderId="7" xfId="2" applyFont="1" applyFill="1" applyBorder="1" applyAlignment="1">
      <alignment horizontal="center" vertical="center"/>
    </xf>
    <xf numFmtId="0" fontId="18" fillId="13" borderId="18" xfId="2" applyFont="1" applyFill="1" applyBorder="1" applyAlignment="1">
      <alignment horizontal="center" vertical="center"/>
    </xf>
    <xf numFmtId="0" fontId="18" fillId="13" borderId="6" xfId="2" applyFont="1" applyFill="1" applyBorder="1" applyAlignment="1">
      <alignment horizontal="center" vertical="center"/>
    </xf>
    <xf numFmtId="0" fontId="18" fillId="13" borderId="7" xfId="2" applyFont="1" applyFill="1" applyBorder="1" applyAlignment="1">
      <alignment horizontal="center" vertical="center"/>
    </xf>
    <xf numFmtId="0" fontId="17" fillId="0" borderId="18" xfId="2" applyFont="1" applyBorder="1" applyAlignment="1">
      <alignment horizontal="center" vertical="center"/>
    </xf>
    <xf numFmtId="0" fontId="17" fillId="0" borderId="6" xfId="2" applyFont="1" applyBorder="1" applyAlignment="1">
      <alignment horizontal="center" vertical="center"/>
    </xf>
    <xf numFmtId="0" fontId="18" fillId="11" borderId="18" xfId="2" applyFont="1" applyFill="1" applyBorder="1" applyAlignment="1">
      <alignment horizontal="center" vertical="center"/>
    </xf>
    <xf numFmtId="0" fontId="20" fillId="11" borderId="6" xfId="2" applyFont="1" applyFill="1" applyBorder="1" applyAlignment="1">
      <alignment horizontal="center" vertical="center"/>
    </xf>
    <xf numFmtId="0" fontId="20" fillId="11" borderId="7" xfId="2" applyFont="1" applyFill="1" applyBorder="1" applyAlignment="1">
      <alignment horizontal="center" vertical="center"/>
    </xf>
    <xf numFmtId="0" fontId="17" fillId="0" borderId="7" xfId="2" applyFont="1" applyBorder="1" applyAlignment="1">
      <alignment horizontal="center" vertical="center"/>
    </xf>
    <xf numFmtId="0" fontId="20" fillId="11" borderId="14" xfId="0" applyFont="1" applyFill="1" applyBorder="1" applyAlignment="1" applyProtection="1">
      <alignment horizontal="left" vertical="center" wrapText="1"/>
    </xf>
    <xf numFmtId="0" fontId="34" fillId="11" borderId="10" xfId="0" applyFont="1" applyFill="1" applyBorder="1" applyAlignment="1" applyProtection="1">
      <alignment horizontal="left" vertical="center" wrapText="1"/>
    </xf>
  </cellXfs>
  <cellStyles count="7">
    <cellStyle name="Normal" xfId="0" builtinId="0"/>
    <cellStyle name="Normal 2" xfId="2" xr:uid="{00000000-0005-0000-0000-000001000000}"/>
    <cellStyle name="Normal 3" xfId="3" xr:uid="{00000000-0005-0000-0000-000002000000}"/>
    <cellStyle name="Normal 4" xfId="4" xr:uid="{00000000-0005-0000-0000-000003000000}"/>
    <cellStyle name="Porcentaje" xfId="1" builtinId="5"/>
    <cellStyle name="Porcentaje 2" xfId="5" xr:uid="{00000000-0005-0000-0000-000005000000}"/>
    <cellStyle name="Porcentaje 3" xfId="6" xr:uid="{00000000-0005-0000-0000-000006000000}"/>
  </cellStyles>
  <dxfs count="2">
    <dxf>
      <font>
        <b/>
        <i val="0"/>
        <color theme="0"/>
      </font>
      <numFmt numFmtId="0" formatCode="General"/>
      <fill>
        <patternFill>
          <bgColor theme="1"/>
        </patternFill>
      </fill>
    </dxf>
    <dxf>
      <font>
        <b/>
        <i val="0"/>
        <color theme="0"/>
      </font>
      <numFmt numFmtId="0" formatCode="General"/>
      <fill>
        <patternFill>
          <bgColor theme="1"/>
        </patternFill>
      </fill>
    </dxf>
  </dxfs>
  <tableStyles count="0" defaultTableStyle="TableStyleMedium2" defaultPivotStyle="PivotStyleLight16"/>
  <colors>
    <mruColors>
      <color rgb="FF6A5235"/>
      <color rgb="FFBC55A0"/>
      <color rgb="FF2970B8"/>
      <color rgb="FFAAD25B"/>
      <color rgb="FFF9CD1A"/>
      <color rgb="FF333333"/>
      <color rgb="FFF5876D"/>
      <color rgb="FF57C2B1"/>
      <color rgb="FFFFFF99"/>
      <color rgb="FF99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104775</xdr:colOff>
      <xdr:row>20</xdr:row>
      <xdr:rowOff>219075</xdr:rowOff>
    </xdr:from>
    <xdr:to>
      <xdr:col>6</xdr:col>
      <xdr:colOff>476250</xdr:colOff>
      <xdr:row>22</xdr:row>
      <xdr:rowOff>76200</xdr:rowOff>
    </xdr:to>
    <xdr:sp macro="" textlink="">
      <xdr:nvSpPr>
        <xdr:cNvPr id="2576" name="AutoShape 2">
          <a:extLst>
            <a:ext uri="{FF2B5EF4-FFF2-40B4-BE49-F238E27FC236}">
              <a16:creationId xmlns:a16="http://schemas.microsoft.com/office/drawing/2014/main" id="{00000000-0008-0000-0000-0000100A0000}"/>
            </a:ext>
          </a:extLst>
        </xdr:cNvPr>
        <xdr:cNvSpPr>
          <a:spLocks noChangeArrowheads="1"/>
        </xdr:cNvSpPr>
      </xdr:nvSpPr>
      <xdr:spPr bwMode="auto">
        <a:xfrm>
          <a:off x="3448050" y="3829050"/>
          <a:ext cx="504825" cy="438150"/>
        </a:xfrm>
        <a:prstGeom prst="rightArrow">
          <a:avLst>
            <a:gd name="adj1" fmla="val 50000"/>
            <a:gd name="adj2" fmla="val 37791"/>
          </a:avLst>
        </a:prstGeom>
        <a:solidFill>
          <a:srgbClr val="6A523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6</xdr:col>
      <xdr:colOff>114300</xdr:colOff>
      <xdr:row>38</xdr:row>
      <xdr:rowOff>57150</xdr:rowOff>
    </xdr:from>
    <xdr:to>
      <xdr:col>6</xdr:col>
      <xdr:colOff>533400</xdr:colOff>
      <xdr:row>40</xdr:row>
      <xdr:rowOff>123825</xdr:rowOff>
    </xdr:to>
    <xdr:sp macro="" textlink="">
      <xdr:nvSpPr>
        <xdr:cNvPr id="2577" name="AutoShape 13">
          <a:extLst>
            <a:ext uri="{FF2B5EF4-FFF2-40B4-BE49-F238E27FC236}">
              <a16:creationId xmlns:a16="http://schemas.microsoft.com/office/drawing/2014/main" id="{00000000-0008-0000-0000-0000110A0000}"/>
            </a:ext>
          </a:extLst>
        </xdr:cNvPr>
        <xdr:cNvSpPr>
          <a:spLocks noChangeArrowheads="1"/>
        </xdr:cNvSpPr>
      </xdr:nvSpPr>
      <xdr:spPr bwMode="auto">
        <a:xfrm>
          <a:off x="3590925" y="7496175"/>
          <a:ext cx="419100" cy="542925"/>
        </a:xfrm>
        <a:prstGeom prst="rightArrow">
          <a:avLst>
            <a:gd name="adj1" fmla="val 50000"/>
            <a:gd name="adj2" fmla="val 28509"/>
          </a:avLst>
        </a:prstGeom>
        <a:solidFill>
          <a:srgbClr val="6A523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>
    <xdr:from>
      <xdr:col>5</xdr:col>
      <xdr:colOff>76200</xdr:colOff>
      <xdr:row>15</xdr:row>
      <xdr:rowOff>76200</xdr:rowOff>
    </xdr:from>
    <xdr:to>
      <xdr:col>6</xdr:col>
      <xdr:colOff>485775</xdr:colOff>
      <xdr:row>17</xdr:row>
      <xdr:rowOff>104775</xdr:rowOff>
    </xdr:to>
    <xdr:sp macro="" textlink="">
      <xdr:nvSpPr>
        <xdr:cNvPr id="2578" name="AutoShape 13">
          <a:extLst>
            <a:ext uri="{FF2B5EF4-FFF2-40B4-BE49-F238E27FC236}">
              <a16:creationId xmlns:a16="http://schemas.microsoft.com/office/drawing/2014/main" id="{00000000-0008-0000-0000-0000120A0000}"/>
            </a:ext>
          </a:extLst>
        </xdr:cNvPr>
        <xdr:cNvSpPr>
          <a:spLocks noChangeArrowheads="1"/>
        </xdr:cNvSpPr>
      </xdr:nvSpPr>
      <xdr:spPr bwMode="auto">
        <a:xfrm>
          <a:off x="3419475" y="2695575"/>
          <a:ext cx="542925" cy="504825"/>
        </a:xfrm>
        <a:prstGeom prst="rightArrow">
          <a:avLst>
            <a:gd name="adj1" fmla="val 50000"/>
            <a:gd name="adj2" fmla="val 31861"/>
          </a:avLst>
        </a:prstGeom>
        <a:solidFill>
          <a:srgbClr val="6A5235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</xdr:spPr>
    </xdr:sp>
    <xdr:clientData/>
  </xdr:twoCellAnchor>
  <xdr:twoCellAnchor editAs="oneCell">
    <xdr:from>
      <xdr:col>6</xdr:col>
      <xdr:colOff>609600</xdr:colOff>
      <xdr:row>20</xdr:row>
      <xdr:rowOff>209550</xdr:rowOff>
    </xdr:from>
    <xdr:to>
      <xdr:col>11</xdr:col>
      <xdr:colOff>333375</xdr:colOff>
      <xdr:row>30</xdr:row>
      <xdr:rowOff>28575</xdr:rowOff>
    </xdr:to>
    <xdr:pic>
      <xdr:nvPicPr>
        <xdr:cNvPr id="2579" name="1 Imagen">
          <a:extLst>
            <a:ext uri="{FF2B5EF4-FFF2-40B4-BE49-F238E27FC236}">
              <a16:creationId xmlns:a16="http://schemas.microsoft.com/office/drawing/2014/main" id="{00000000-0008-0000-0000-0000130A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86225" y="3819525"/>
          <a:ext cx="3819525" cy="20383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609600</xdr:colOff>
      <xdr:row>12</xdr:row>
      <xdr:rowOff>38100</xdr:rowOff>
    </xdr:from>
    <xdr:to>
      <xdr:col>13</xdr:col>
      <xdr:colOff>47625</xdr:colOff>
      <xdr:row>20</xdr:row>
      <xdr:rowOff>66675</xdr:rowOff>
    </xdr:to>
    <xdr:pic>
      <xdr:nvPicPr>
        <xdr:cNvPr id="2580" name="3 Imagen">
          <a:extLst>
            <a:ext uri="{FF2B5EF4-FFF2-40B4-BE49-F238E27FC236}">
              <a16:creationId xmlns:a16="http://schemas.microsoft.com/office/drawing/2014/main" id="{00000000-0008-0000-0000-0000140A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086225" y="2057400"/>
          <a:ext cx="5057775" cy="16192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66675</xdr:colOff>
      <xdr:row>35</xdr:row>
      <xdr:rowOff>266700</xdr:rowOff>
    </xdr:from>
    <xdr:to>
      <xdr:col>12</xdr:col>
      <xdr:colOff>724696</xdr:colOff>
      <xdr:row>42</xdr:row>
      <xdr:rowOff>163578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26BCEC8-EB72-4420-ABAD-4F634107A9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267200" y="7019925"/>
          <a:ext cx="4791871" cy="1487553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47625</xdr:colOff>
      <xdr:row>48</xdr:row>
      <xdr:rowOff>95250</xdr:rowOff>
    </xdr:from>
    <xdr:to>
      <xdr:col>5</xdr:col>
      <xdr:colOff>1619250</xdr:colOff>
      <xdr:row>71</xdr:row>
      <xdr:rowOff>46075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A562E0C8-42F2-40F3-9D0E-5E992D11AF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14300" y="10182225"/>
          <a:ext cx="5181600" cy="34560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8"/>
  </sheetPr>
  <dimension ref="B1:P46"/>
  <sheetViews>
    <sheetView showGridLines="0" tabSelected="1" zoomScale="110" zoomScaleNormal="110" workbookViewId="0">
      <pane ySplit="3" topLeftCell="A4" activePane="bottomLeft" state="frozen"/>
      <selection pane="bottomLeft" activeCell="E44" sqref="E44"/>
    </sheetView>
  </sheetViews>
  <sheetFormatPr baseColWidth="10" defaultRowHeight="12.75" x14ac:dyDescent="0.2"/>
  <cols>
    <col min="1" max="1" width="1.85546875" customWidth="1"/>
    <col min="2" max="3" width="2.28515625" customWidth="1"/>
    <col min="4" max="4" width="29.85546875" customWidth="1"/>
    <col min="5" max="5" width="13.85546875" customWidth="1"/>
    <col min="6" max="6" width="2" customWidth="1"/>
    <col min="7" max="7" width="10.85546875" customWidth="1"/>
    <col min="8" max="9" width="13.85546875" customWidth="1"/>
    <col min="14" max="14" width="3.85546875" customWidth="1"/>
    <col min="15" max="15" width="1.85546875" customWidth="1"/>
  </cols>
  <sheetData>
    <row r="1" spans="2:16" ht="8.25" customHeight="1" x14ac:dyDescent="0.2"/>
    <row r="2" spans="2:16" ht="24.95" customHeight="1" x14ac:dyDescent="0.2">
      <c r="D2" s="50" t="s">
        <v>46</v>
      </c>
      <c r="E2" s="51"/>
      <c r="F2" s="51"/>
      <c r="G2" s="51"/>
      <c r="H2" s="51"/>
      <c r="I2" s="51"/>
    </row>
    <row r="3" spans="2:16" ht="6.75" customHeight="1" x14ac:dyDescent="0.2">
      <c r="D3" s="33"/>
      <c r="E3" s="33"/>
      <c r="F3" s="33"/>
      <c r="G3" s="33"/>
      <c r="H3" s="33"/>
      <c r="I3" s="33"/>
    </row>
    <row r="4" spans="2:16" ht="6.75" customHeight="1" thickBot="1" x14ac:dyDescent="0.25">
      <c r="D4" s="33"/>
      <c r="E4" s="33"/>
      <c r="F4" s="33"/>
      <c r="G4" s="33"/>
      <c r="H4" s="33"/>
      <c r="I4" s="33"/>
    </row>
    <row r="5" spans="2:16" ht="21.95" customHeight="1" thickBot="1" x14ac:dyDescent="0.25">
      <c r="B5" s="49"/>
      <c r="C5" s="49"/>
      <c r="D5" s="34" t="s">
        <v>45</v>
      </c>
      <c r="E5" s="205" t="s">
        <v>172</v>
      </c>
      <c r="F5" s="206"/>
      <c r="G5" s="206"/>
      <c r="H5" s="206"/>
      <c r="I5" s="207"/>
      <c r="J5" s="1"/>
    </row>
    <row r="6" spans="2:16" ht="9" customHeight="1" x14ac:dyDescent="0.2">
      <c r="D6" s="34"/>
      <c r="E6" s="35"/>
      <c r="F6" s="35"/>
      <c r="G6" s="35"/>
      <c r="H6" s="35"/>
      <c r="I6" s="35"/>
    </row>
    <row r="7" spans="2:16" ht="21.95" customHeight="1" x14ac:dyDescent="0.2">
      <c r="B7" s="49"/>
      <c r="C7" s="49"/>
      <c r="D7" s="34" t="s">
        <v>164</v>
      </c>
      <c r="E7" s="59"/>
      <c r="F7" s="35"/>
      <c r="I7" s="35"/>
    </row>
    <row r="8" spans="2:16" ht="3.75" customHeight="1" thickBot="1" x14ac:dyDescent="0.25">
      <c r="B8" s="31"/>
      <c r="C8" s="31"/>
      <c r="D8" s="34"/>
      <c r="E8" s="36"/>
      <c r="F8" s="35"/>
      <c r="G8" s="160"/>
      <c r="I8" s="35"/>
    </row>
    <row r="9" spans="2:16" ht="21.95" customHeight="1" thickBot="1" x14ac:dyDescent="0.25">
      <c r="C9" s="346"/>
      <c r="D9" s="57" t="s">
        <v>155</v>
      </c>
      <c r="E9" s="208">
        <v>6314.9218000000001</v>
      </c>
      <c r="F9" s="35"/>
      <c r="G9" s="163">
        <f>E9*E11/46</f>
        <v>6118.1570735665218</v>
      </c>
      <c r="H9" s="161" t="s">
        <v>168</v>
      </c>
      <c r="I9" s="35"/>
    </row>
    <row r="10" spans="2:16" ht="3.75" customHeight="1" thickBot="1" x14ac:dyDescent="0.25">
      <c r="D10" s="61"/>
      <c r="E10" s="37"/>
      <c r="F10" s="35"/>
      <c r="G10" s="162"/>
      <c r="H10" s="162"/>
      <c r="I10" s="35"/>
    </row>
    <row r="11" spans="2:16" ht="21.95" customHeight="1" thickBot="1" x14ac:dyDescent="0.25">
      <c r="C11" s="346"/>
      <c r="D11" s="57" t="s">
        <v>166</v>
      </c>
      <c r="E11" s="209">
        <v>44.566699999999997</v>
      </c>
      <c r="G11" s="164">
        <f>E11*2.20462262</f>
        <v>98.252754918753993</v>
      </c>
      <c r="H11" s="161" t="s">
        <v>167</v>
      </c>
      <c r="I11" s="35"/>
      <c r="P11" s="157"/>
    </row>
    <row r="12" spans="2:16" ht="9" customHeight="1" x14ac:dyDescent="0.2">
      <c r="D12" s="34"/>
      <c r="E12" s="35"/>
      <c r="F12" s="35"/>
      <c r="G12" s="35"/>
      <c r="H12" s="35"/>
      <c r="I12" s="35"/>
    </row>
    <row r="13" spans="2:16" ht="21.95" customHeight="1" x14ac:dyDescent="0.2">
      <c r="B13" s="49"/>
      <c r="C13" s="49"/>
      <c r="D13" s="34" t="s">
        <v>165</v>
      </c>
      <c r="E13" s="159" t="s">
        <v>163</v>
      </c>
      <c r="F13" s="35"/>
      <c r="G13" s="35"/>
      <c r="H13" s="35"/>
      <c r="I13" s="35"/>
    </row>
    <row r="14" spans="2:16" ht="3.75" customHeight="1" thickBot="1" x14ac:dyDescent="0.25">
      <c r="B14" s="31"/>
      <c r="C14" s="31"/>
      <c r="D14" s="34"/>
      <c r="E14" s="36"/>
      <c r="F14" s="35"/>
      <c r="G14" s="35"/>
      <c r="H14" s="35"/>
      <c r="I14" s="35"/>
    </row>
    <row r="15" spans="2:16" ht="21.95" customHeight="1" thickBot="1" x14ac:dyDescent="0.25">
      <c r="C15" s="346"/>
      <c r="D15" s="57" t="s">
        <v>162</v>
      </c>
      <c r="E15" s="210">
        <v>0.83240000000000003</v>
      </c>
      <c r="F15" s="35"/>
      <c r="G15" s="35"/>
      <c r="H15" s="35"/>
      <c r="I15" s="35"/>
    </row>
    <row r="16" spans="2:16" ht="15.75" customHeight="1" thickBot="1" x14ac:dyDescent="0.25"/>
    <row r="17" spans="2:14" ht="21.95" customHeight="1" thickBot="1" x14ac:dyDescent="0.25">
      <c r="B17" s="49"/>
      <c r="C17" s="49"/>
      <c r="D17" s="34" t="s">
        <v>58</v>
      </c>
      <c r="E17" s="211">
        <v>2</v>
      </c>
      <c r="F17" s="35"/>
      <c r="G17" s="35"/>
      <c r="H17" s="35"/>
      <c r="I17" s="35"/>
    </row>
    <row r="18" spans="2:14" ht="15" x14ac:dyDescent="0.2">
      <c r="D18" s="48" t="str">
        <f>IF(E17=1,"Instituto Costarricense de Electricidad",IF(E17=2,"Coope Santos, R.L.",IF(E17=3,"Compañía Nacional de Fuerza y Luz, S.A.","Otros Proveedores de Electricidad")))</f>
        <v>Coope Santos, R.L.</v>
      </c>
      <c r="E18" s="35"/>
      <c r="F18" s="35"/>
      <c r="G18" s="35"/>
      <c r="H18" s="35"/>
      <c r="I18" s="35"/>
    </row>
    <row r="19" spans="2:14" s="31" customFormat="1" ht="3.75" customHeight="1" thickBot="1" x14ac:dyDescent="0.25">
      <c r="D19" s="52"/>
      <c r="E19" s="60"/>
      <c r="H19" s="53"/>
      <c r="I19" s="53"/>
      <c r="N19"/>
    </row>
    <row r="20" spans="2:14" ht="21.95" customHeight="1" thickBot="1" x14ac:dyDescent="0.25">
      <c r="C20" s="346"/>
      <c r="D20" s="58" t="s">
        <v>63</v>
      </c>
      <c r="E20" s="212">
        <v>9.2600000000000002E-2</v>
      </c>
    </row>
    <row r="21" spans="2:14" ht="24" customHeight="1" thickBot="1" x14ac:dyDescent="0.3">
      <c r="D21" s="34"/>
      <c r="E21" s="105" t="s">
        <v>48</v>
      </c>
      <c r="F21" s="35"/>
      <c r="G21" s="35"/>
      <c r="H21" s="35"/>
      <c r="I21" s="35"/>
    </row>
    <row r="22" spans="2:14" ht="21.95" customHeight="1" thickBot="1" x14ac:dyDescent="0.25">
      <c r="B22" s="49"/>
      <c r="C22" s="49"/>
      <c r="D22" s="34" t="s">
        <v>47</v>
      </c>
      <c r="E22" s="211">
        <v>1</v>
      </c>
      <c r="F22" s="38"/>
      <c r="G22" s="38"/>
      <c r="H22" s="35"/>
      <c r="I22" s="35"/>
    </row>
    <row r="23" spans="2:14" ht="9" customHeight="1" thickBot="1" x14ac:dyDescent="0.25">
      <c r="D23" s="34"/>
      <c r="E23" s="35"/>
      <c r="F23" s="35"/>
      <c r="G23" s="35"/>
      <c r="H23" s="35"/>
      <c r="I23" s="35"/>
    </row>
    <row r="24" spans="2:14" ht="21.95" customHeight="1" thickBot="1" x14ac:dyDescent="0.25">
      <c r="B24" s="49"/>
      <c r="C24" s="49"/>
      <c r="D24" s="47" t="s">
        <v>77</v>
      </c>
      <c r="E24" s="208">
        <v>75.78</v>
      </c>
      <c r="F24" s="35"/>
      <c r="G24" s="35"/>
      <c r="H24" s="35"/>
      <c r="I24" s="35"/>
    </row>
    <row r="25" spans="2:14" ht="15.75" customHeight="1" x14ac:dyDescent="0.2"/>
    <row r="26" spans="2:14" ht="21.95" customHeight="1" x14ac:dyDescent="0.2">
      <c r="B26" s="49"/>
      <c r="C26" s="49"/>
      <c r="D26" s="34" t="s">
        <v>62</v>
      </c>
      <c r="E26" s="59" t="str">
        <f>IF(E28=44.82%,"% Ley","% Real")</f>
        <v>% Real</v>
      </c>
    </row>
    <row r="27" spans="2:14" ht="4.5" customHeight="1" thickBot="1" x14ac:dyDescent="0.25">
      <c r="B27" s="31"/>
      <c r="C27" s="31"/>
      <c r="D27" s="34"/>
      <c r="E27" s="36"/>
    </row>
    <row r="28" spans="2:14" ht="21.95" customHeight="1" thickBot="1" x14ac:dyDescent="0.25">
      <c r="C28" s="347"/>
      <c r="D28" s="57" t="s">
        <v>76</v>
      </c>
      <c r="E28" s="212">
        <v>0.4461</v>
      </c>
    </row>
    <row r="30" spans="2:14" ht="21.95" customHeight="1" x14ac:dyDescent="0.2">
      <c r="B30" s="49"/>
      <c r="C30" s="49"/>
      <c r="D30" s="34" t="s">
        <v>152</v>
      </c>
      <c r="E30" s="39"/>
      <c r="F30" s="35"/>
      <c r="G30" s="35"/>
      <c r="H30" s="35"/>
      <c r="I30" s="35"/>
    </row>
    <row r="31" spans="2:14" s="31" customFormat="1" ht="3.75" customHeight="1" thickBot="1" x14ac:dyDescent="0.25">
      <c r="D31" s="52"/>
      <c r="E31" s="104"/>
      <c r="H31" s="53"/>
      <c r="I31" s="53"/>
      <c r="N31"/>
    </row>
    <row r="32" spans="2:14" ht="21.95" customHeight="1" thickBot="1" x14ac:dyDescent="0.25">
      <c r="B32" s="35"/>
      <c r="C32" s="346"/>
      <c r="D32" s="35" t="s">
        <v>153</v>
      </c>
      <c r="E32" s="208">
        <v>71517.33</v>
      </c>
      <c r="F32" s="35"/>
      <c r="G32" s="35"/>
      <c r="H32" s="35"/>
      <c r="I32" s="35"/>
    </row>
    <row r="33" spans="2:14" ht="21.95" customHeight="1" x14ac:dyDescent="0.2">
      <c r="D33" s="61" t="s">
        <v>169</v>
      </c>
      <c r="E33" s="35"/>
      <c r="F33" s="35"/>
      <c r="G33" s="35"/>
      <c r="H33" s="35"/>
      <c r="I33" s="35"/>
    </row>
    <row r="34" spans="2:14" ht="21.95" customHeight="1" x14ac:dyDescent="0.2">
      <c r="B34" s="49"/>
      <c r="C34" s="49"/>
      <c r="D34" s="47" t="s">
        <v>161</v>
      </c>
      <c r="F34" s="32"/>
      <c r="G34" s="32"/>
      <c r="H34" s="32"/>
      <c r="I34" s="35"/>
    </row>
    <row r="35" spans="2:14" s="31" customFormat="1" ht="3.75" customHeight="1" thickBot="1" x14ac:dyDescent="0.25">
      <c r="D35" s="52"/>
      <c r="E35" s="104"/>
      <c r="H35" s="53"/>
      <c r="I35" s="53"/>
      <c r="N35"/>
    </row>
    <row r="36" spans="2:14" ht="21.95" customHeight="1" thickBot="1" x14ac:dyDescent="0.25">
      <c r="B36" s="35"/>
      <c r="C36" s="346"/>
      <c r="D36" s="35" t="s">
        <v>153</v>
      </c>
      <c r="E36" s="208">
        <v>0</v>
      </c>
      <c r="F36" s="35"/>
      <c r="G36" s="35"/>
      <c r="H36" s="35"/>
      <c r="I36" s="35"/>
    </row>
    <row r="37" spans="2:14" ht="21.95" customHeight="1" x14ac:dyDescent="0.2">
      <c r="D37" s="61" t="s">
        <v>154</v>
      </c>
      <c r="E37" s="35"/>
      <c r="F37" s="35"/>
      <c r="G37" s="35"/>
      <c r="H37" s="35"/>
      <c r="I37" s="35"/>
    </row>
    <row r="38" spans="2:14" ht="10.5" customHeight="1" x14ac:dyDescent="0.2">
      <c r="I38" s="32"/>
    </row>
    <row r="39" spans="2:14" ht="15.95" customHeight="1" thickBot="1" x14ac:dyDescent="0.25">
      <c r="D39" s="348" t="s">
        <v>64</v>
      </c>
    </row>
    <row r="40" spans="2:14" ht="21.95" customHeight="1" thickBot="1" x14ac:dyDescent="0.25">
      <c r="B40" s="49"/>
      <c r="C40" s="49"/>
      <c r="D40" s="348"/>
      <c r="E40" s="213">
        <v>1</v>
      </c>
    </row>
    <row r="41" spans="2:14" ht="15.95" customHeight="1" x14ac:dyDescent="0.2">
      <c r="D41" s="348"/>
    </row>
    <row r="42" spans="2:14" ht="18" customHeight="1" x14ac:dyDescent="0.2"/>
    <row r="43" spans="2:14" ht="15.95" customHeight="1" thickBot="1" x14ac:dyDescent="0.25">
      <c r="D43" s="348" t="s">
        <v>61</v>
      </c>
    </row>
    <row r="44" spans="2:14" ht="21.95" customHeight="1" thickBot="1" x14ac:dyDescent="0.25">
      <c r="B44" s="49"/>
      <c r="C44" s="49"/>
      <c r="D44" s="348"/>
      <c r="E44" s="208">
        <v>6.24</v>
      </c>
    </row>
    <row r="45" spans="2:14" ht="15.95" customHeight="1" x14ac:dyDescent="0.2">
      <c r="D45" s="348"/>
    </row>
    <row r="46" spans="2:14" ht="9.75" customHeight="1" x14ac:dyDescent="0.2"/>
  </sheetData>
  <sheetProtection password="CD89" sheet="1" objects="1" scenarios="1"/>
  <dataConsolidate/>
  <mergeCells count="2">
    <mergeCell ref="D39:D41"/>
    <mergeCell ref="D43:D45"/>
  </mergeCells>
  <phoneticPr fontId="3" type="noConversion"/>
  <conditionalFormatting sqref="E32">
    <cfRule type="cellIs" dxfId="1" priority="2" stopIfTrue="1" operator="equal">
      <formula>0</formula>
    </cfRule>
  </conditionalFormatting>
  <conditionalFormatting sqref="E36">
    <cfRule type="cellIs" dxfId="0" priority="1" stopIfTrue="1" operator="equal">
      <formula>0</formula>
    </cfRule>
  </conditionalFormatting>
  <dataValidations count="11">
    <dataValidation type="whole" allowBlank="1" showInputMessage="1" showErrorMessage="1" errorTitle="Fuera de Rango" error="Digite un número entero entre 1 y 4." sqref="E40" xr:uid="{3A3C3D6C-8997-4523-AA3D-2595C738A412}">
      <formula1>1</formula1>
      <formula2>4</formula2>
    </dataValidation>
    <dataValidation allowBlank="1" showInputMessage="1" showErrorMessage="1" errorTitle="Fuera de Rango" error="Digitar un número decimal entre 0.15% y 0.95%." sqref="E32 E36" xr:uid="{A8E3E60D-F0AF-474C-A8B5-8476842FFA8C}"/>
    <dataValidation type="whole" allowBlank="1" showInputMessage="1" showErrorMessage="1" errorTitle="Fuera de Rango" error="Digitar un número entero entre 1 y 4." sqref="E17" xr:uid="{6212D250-6D88-49AD-B7CB-B2A603B74DA7}">
      <formula1>1</formula1>
      <formula2>4</formula2>
    </dataValidation>
    <dataValidation type="decimal" allowBlank="1" showInputMessage="1" showErrorMessage="1" errorTitle="Fuera de Rango" error="Anotar un porcentaje no mayor a 50%." sqref="E28" xr:uid="{30818000-5561-4749-B87A-F46C90AA68B6}">
      <formula1>0</formula1>
      <formula2>0.5</formula2>
    </dataValidation>
    <dataValidation type="decimal" allowBlank="1" showInputMessage="1" showErrorMessage="1" errorTitle="Fuera de Rango" error="Digitar un porcentaje no mayor a 13%." sqref="E20" xr:uid="{BBDD2F57-89A2-4465-B0F5-3CC53063D4EE}">
      <formula1>0</formula1>
      <formula2>0.13</formula2>
    </dataValidation>
    <dataValidation type="whole" allowBlank="1" showErrorMessage="1" errorTitle="Fuera de Rango" error="Digite un número entero entre 1 y 5." promptTitle="Información" prompt="Indique la zona en la cual se encuentra la planta Beneficiadora" sqref="E22" xr:uid="{275161A9-B5AA-45A0-910D-C65A43B1289A}">
      <formula1>1</formula1>
      <formula2>5</formula2>
    </dataValidation>
    <dataValidation type="decimal" operator="greaterThanOrEqual" allowBlank="1" showInputMessage="1" showErrorMessage="1" errorTitle="Número con Decimales" error="Digitar el número de fanegas procesadas con sus decimales.  Mayor que cero." sqref="E9" xr:uid="{BDA70DA7-DDD7-4573-A735-AB88FCB4F723}">
      <formula1>0</formula1>
    </dataValidation>
    <dataValidation type="decimal" operator="greaterThanOrEqual" allowBlank="1" showInputMessage="1" showErrorMessage="1" errorTitle="Letra, símbolo o número negativo" error="Digitar la cantidad de quintales (qq) vendidos para exportación (entero con decimales)" sqref="E12 E14" xr:uid="{AF3D0F1B-386F-4F00-951A-620A0ACA63A1}">
      <formula1>0</formula1>
    </dataValidation>
    <dataValidation type="decimal" operator="greaterThanOrEqual" allowBlank="1" showInputMessage="1" showErrorMessage="1" errorTitle="Letra, símbolo o número negativo" error="Digitar la cantidad de sacos (46 kg) vendidos para consumo nacional.  Mayor que cero." sqref="E15" xr:uid="{986902F2-0B3F-4231-B9AD-E8A148E60283}">
      <formula1>0</formula1>
    </dataValidation>
    <dataValidation type="decimal" operator="greaterThanOrEqual" allowBlank="1" showInputMessage="1" showErrorMessage="1" errorTitle="Número con Decimales" error="Digitar la cantidad de sacos (46 kg) vendidos para exportación.  Mayor que cero." sqref="E11" xr:uid="{DDBFBB57-1C2D-4CC4-8C48-20F6947AB7C8}">
      <formula1>0</formula1>
    </dataValidation>
    <dataValidation type="decimal" allowBlank="1" showInputMessage="1" showErrorMessage="1" errorTitle="Fuera de Rango" error="Digitar un número decimal entre 0 y 500" sqref="E24 E44" xr:uid="{6C76AC1B-0A7F-4630-9685-41B835B5CB74}">
      <formula1>0</formula1>
      <formula2>500</formula2>
    </dataValidation>
  </dataValidations>
  <printOptions horizontalCentered="1" verticalCentered="1"/>
  <pageMargins left="0.74803149606299213" right="0.74803149606299213" top="0.59055118110236227" bottom="0.59055118110236227" header="0" footer="0"/>
  <pageSetup scale="80" orientation="landscape" r:id="rId1"/>
  <headerFooter alignWithMargins="0"/>
  <cellWatches>
    <cellWatch r="E40"/>
  </cellWatche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C000"/>
  </sheetPr>
  <dimension ref="A1:R115"/>
  <sheetViews>
    <sheetView showGridLines="0" zoomScaleNormal="100" workbookViewId="0">
      <pane ySplit="5" topLeftCell="A6" activePane="bottomLeft" state="frozen"/>
      <selection pane="bottomLeft" activeCell="C48" sqref="C48"/>
    </sheetView>
  </sheetViews>
  <sheetFormatPr baseColWidth="10" defaultRowHeight="13.5" x14ac:dyDescent="0.2"/>
  <cols>
    <col min="1" max="1" width="1" style="67" customWidth="1"/>
    <col min="2" max="2" width="14.28515625" style="67" customWidth="1"/>
    <col min="3" max="4" width="14.28515625" style="68" bestFit="1" customWidth="1"/>
    <col min="5" max="5" width="11.28515625" style="68" bestFit="1" customWidth="1"/>
    <col min="6" max="6" width="27.7109375" style="68" bestFit="1" customWidth="1"/>
    <col min="7" max="7" width="1.140625" style="68" customWidth="1"/>
    <col min="8" max="8" width="14.7109375" style="69" bestFit="1" customWidth="1"/>
    <col min="9" max="10" width="13.42578125" style="69" customWidth="1"/>
    <col min="11" max="11" width="1.140625" style="68" customWidth="1"/>
    <col min="12" max="12" width="10.140625" style="68" customWidth="1"/>
    <col min="13" max="13" width="11.28515625" style="67" bestFit="1" customWidth="1"/>
    <col min="14" max="14" width="1" style="67" customWidth="1"/>
    <col min="15" max="15" width="11.28515625" style="68" hidden="1" customWidth="1"/>
    <col min="16" max="16" width="11.7109375" style="67" hidden="1" customWidth="1"/>
    <col min="17" max="17" width="4.85546875" style="67" hidden="1" customWidth="1"/>
    <col min="18" max="18" width="4" style="67" hidden="1" customWidth="1"/>
    <col min="19" max="16384" width="11.42578125" style="67"/>
  </cols>
  <sheetData>
    <row r="1" spans="2:18" ht="5.25" customHeight="1" thickBot="1" x14ac:dyDescent="0.25"/>
    <row r="2" spans="2:18" ht="31.5" customHeight="1" thickTop="1" thickBot="1" x14ac:dyDescent="0.25">
      <c r="B2" s="214" t="s">
        <v>171</v>
      </c>
      <c r="C2" s="215"/>
      <c r="D2" s="215"/>
      <c r="E2" s="215"/>
      <c r="F2" s="215"/>
      <c r="G2" s="215"/>
      <c r="H2" s="215"/>
      <c r="I2" s="215"/>
      <c r="J2" s="215"/>
      <c r="K2" s="215"/>
      <c r="L2" s="215"/>
      <c r="M2" s="216"/>
    </row>
    <row r="3" spans="2:18" ht="15" thickTop="1" thickBot="1" x14ac:dyDescent="0.25"/>
    <row r="4" spans="2:18" ht="18" customHeight="1" thickBot="1" x14ac:dyDescent="0.25">
      <c r="H4" s="236" t="s">
        <v>80</v>
      </c>
      <c r="I4" s="237"/>
      <c r="J4" s="238"/>
      <c r="L4" s="239" t="s">
        <v>81</v>
      </c>
      <c r="M4" s="240"/>
    </row>
    <row r="5" spans="2:18" ht="18" customHeight="1" thickBot="1" x14ac:dyDescent="0.25">
      <c r="B5" s="70" t="s">
        <v>82</v>
      </c>
      <c r="C5" s="71" t="s">
        <v>8</v>
      </c>
      <c r="D5" s="71" t="s">
        <v>83</v>
      </c>
      <c r="E5" s="71" t="s">
        <v>2</v>
      </c>
      <c r="F5" s="71" t="s">
        <v>84</v>
      </c>
      <c r="G5" s="71"/>
      <c r="H5" s="72" t="s">
        <v>85</v>
      </c>
      <c r="I5" s="72" t="s">
        <v>86</v>
      </c>
      <c r="J5" s="72" t="s">
        <v>87</v>
      </c>
      <c r="K5" s="71"/>
      <c r="L5" s="71" t="s">
        <v>88</v>
      </c>
      <c r="M5" s="71" t="s">
        <v>89</v>
      </c>
    </row>
    <row r="6" spans="2:18" ht="3.75" customHeight="1" thickBot="1" x14ac:dyDescent="0.25">
      <c r="M6" s="68"/>
    </row>
    <row r="7" spans="2:18" ht="20.100000000000001" customHeight="1" x14ac:dyDescent="0.2">
      <c r="B7" s="349" t="s">
        <v>90</v>
      </c>
      <c r="C7" s="158" t="s">
        <v>91</v>
      </c>
      <c r="D7" s="73" t="s">
        <v>49</v>
      </c>
      <c r="E7" s="74" t="s">
        <v>12</v>
      </c>
      <c r="F7" s="166" t="s">
        <v>92</v>
      </c>
      <c r="G7" s="108"/>
      <c r="H7" s="106">
        <v>21.313300000000002</v>
      </c>
      <c r="I7" s="167">
        <v>-0.22359999999999999</v>
      </c>
      <c r="J7" s="107" t="s">
        <v>14</v>
      </c>
      <c r="K7" s="108"/>
      <c r="L7" s="109" t="s">
        <v>14</v>
      </c>
      <c r="M7" s="168">
        <v>8.0602499999999999</v>
      </c>
      <c r="O7" s="95">
        <f>H7*POWER(DATOS!E9,I7)</f>
        <v>3.0122320033690948</v>
      </c>
      <c r="P7" s="97">
        <f>ROUND(IF(AND(L7="-",M7="-"),O7,IF(O7&lt;SUM(L7),L7,IF(O7&gt;M7,M7,O7))),5)</f>
        <v>3.0122300000000002</v>
      </c>
      <c r="R7" s="187"/>
    </row>
    <row r="8" spans="2:18" ht="20.100000000000001" customHeight="1" thickBot="1" x14ac:dyDescent="0.25">
      <c r="B8" s="350"/>
      <c r="C8" s="75" t="s">
        <v>93</v>
      </c>
      <c r="D8" s="76" t="s">
        <v>54</v>
      </c>
      <c r="E8" s="77" t="s">
        <v>68</v>
      </c>
      <c r="F8" s="117" t="s">
        <v>94</v>
      </c>
      <c r="G8" s="108"/>
      <c r="H8" s="169" t="s">
        <v>95</v>
      </c>
      <c r="I8" s="170"/>
      <c r="J8" s="171"/>
      <c r="K8" s="108"/>
      <c r="L8" s="137" t="s">
        <v>14</v>
      </c>
      <c r="M8" s="117" t="s">
        <v>14</v>
      </c>
      <c r="O8" s="96">
        <f>ROUND(IF(DATOS!$E$9&lt;1000,C79,IF(DATOS!$E$9&gt;=60000,C84,IF(AND(DATOS!$E$9&gt;=1000,DATOS!$E$9&lt;3000),C80,IF(AND(DATOS!$E$9&gt;=3000,DATOS!$E$9&lt;6000),C81,IF(AND(DATOS!$E$9&gt;=6000,DATOS!$E$9&lt;20000),C82,C83))))),2)</f>
        <v>1878.86</v>
      </c>
      <c r="R8" s="187"/>
    </row>
    <row r="9" spans="2:18" ht="20.100000000000001" customHeight="1" thickBot="1" x14ac:dyDescent="0.25">
      <c r="B9" s="350"/>
      <c r="C9" s="283" t="s">
        <v>96</v>
      </c>
      <c r="D9" s="284" t="s">
        <v>50</v>
      </c>
      <c r="E9" s="285" t="s">
        <v>67</v>
      </c>
      <c r="F9" s="286" t="s">
        <v>97</v>
      </c>
      <c r="G9" s="108"/>
      <c r="H9" s="287">
        <v>32132.480500000001</v>
      </c>
      <c r="I9" s="288">
        <v>-0.34920000000000001</v>
      </c>
      <c r="J9" s="289" t="s">
        <v>14</v>
      </c>
      <c r="K9" s="108"/>
      <c r="L9" s="290" t="s">
        <v>14</v>
      </c>
      <c r="M9" s="291">
        <v>7035.84</v>
      </c>
      <c r="O9" s="84">
        <f>H9*POWER(DATOS!$E$9,I9)</f>
        <v>1513.058623579605</v>
      </c>
      <c r="P9" s="96">
        <f>ROUND(IF(AND(L9="-",M9="-"),O9,IF(O9&lt;SUM(L9),L9,IF(O9&gt;M9,M9,O9))),2)</f>
        <v>1513.06</v>
      </c>
      <c r="R9" s="187"/>
    </row>
    <row r="10" spans="2:18" ht="20.100000000000001" customHeight="1" thickBot="1" x14ac:dyDescent="0.25">
      <c r="B10" s="351"/>
      <c r="C10" s="78" t="s">
        <v>78</v>
      </c>
      <c r="D10" s="79" t="s">
        <v>98</v>
      </c>
      <c r="E10" s="71" t="s">
        <v>16</v>
      </c>
      <c r="F10" s="116" t="s">
        <v>99</v>
      </c>
      <c r="G10" s="108"/>
      <c r="H10" s="165">
        <v>0.4461</v>
      </c>
      <c r="I10" s="145"/>
      <c r="J10" s="146"/>
      <c r="K10" s="108"/>
      <c r="L10" s="115" t="s">
        <v>14</v>
      </c>
      <c r="M10" s="116" t="s">
        <v>14</v>
      </c>
    </row>
    <row r="11" spans="2:18" ht="6.75" customHeight="1" thickBot="1" x14ac:dyDescent="0.25">
      <c r="F11" s="108"/>
      <c r="G11" s="108"/>
      <c r="H11" s="172"/>
      <c r="I11" s="172"/>
      <c r="J11" s="172"/>
      <c r="K11" s="108"/>
      <c r="L11" s="108"/>
      <c r="M11" s="173"/>
    </row>
    <row r="12" spans="2:18" ht="20.100000000000001" customHeight="1" thickBot="1" x14ac:dyDescent="0.25">
      <c r="B12" s="349" t="s">
        <v>60</v>
      </c>
      <c r="C12" s="356" t="s">
        <v>19</v>
      </c>
      <c r="D12" s="241" t="s">
        <v>49</v>
      </c>
      <c r="E12" s="242" t="s">
        <v>20</v>
      </c>
      <c r="F12" s="243" t="s">
        <v>100</v>
      </c>
      <c r="G12" s="108"/>
      <c r="H12" s="244">
        <v>-3.6724999999999999</v>
      </c>
      <c r="I12" s="245">
        <v>1.6915</v>
      </c>
      <c r="J12" s="246" t="s">
        <v>14</v>
      </c>
      <c r="K12" s="108"/>
      <c r="L12" s="247">
        <v>1.89</v>
      </c>
      <c r="M12" s="248">
        <v>20</v>
      </c>
      <c r="O12" s="84">
        <f>H12+I12*LN(DATOS!$E$9)</f>
        <v>11.129259407001005</v>
      </c>
      <c r="P12" s="98">
        <f>ROUND(IF(AND(L12="-",M12="-"),O12,IF(O12&lt;SUM(L12),L12,IF(O12&gt;M12,M12,O12))),2)</f>
        <v>11.13</v>
      </c>
      <c r="R12" s="187"/>
    </row>
    <row r="13" spans="2:18" ht="20.100000000000001" customHeight="1" x14ac:dyDescent="0.2">
      <c r="B13" s="354"/>
      <c r="C13" s="357"/>
      <c r="D13" s="217" t="s">
        <v>101</v>
      </c>
      <c r="E13" s="218" t="s">
        <v>69</v>
      </c>
      <c r="F13" s="219" t="s">
        <v>102</v>
      </c>
      <c r="G13" s="108"/>
      <c r="H13" s="220">
        <v>757.82690000000002</v>
      </c>
      <c r="I13" s="221">
        <v>-0.2828</v>
      </c>
      <c r="J13" s="222" t="s">
        <v>14</v>
      </c>
      <c r="K13" s="108"/>
      <c r="L13" s="223">
        <v>15.029999999999987</v>
      </c>
      <c r="M13" s="224">
        <v>128.72999999999999</v>
      </c>
      <c r="O13" s="84">
        <f>H13*POWER(DATOS!$E$9,I13)</f>
        <v>63.800774846400458</v>
      </c>
      <c r="P13" s="96">
        <f t="shared" ref="P13:P20" si="0">ROUND(IF(AND(L13="-",M13="-"),O13,IF(O13&lt;SUM(L13),L13,IF(O13&gt;M13,M13,O13))),2)</f>
        <v>63.8</v>
      </c>
      <c r="R13" s="187"/>
    </row>
    <row r="14" spans="2:18" ht="20.100000000000001" customHeight="1" x14ac:dyDescent="0.2">
      <c r="B14" s="354"/>
      <c r="C14" s="357"/>
      <c r="D14" s="80" t="s">
        <v>103</v>
      </c>
      <c r="E14" s="81" t="s">
        <v>69</v>
      </c>
      <c r="F14" s="118" t="s">
        <v>173</v>
      </c>
      <c r="G14" s="108"/>
      <c r="H14" s="119">
        <v>921.86389999999994</v>
      </c>
      <c r="I14" s="200">
        <v>-0.29299999999999998</v>
      </c>
      <c r="J14" s="120" t="s">
        <v>14</v>
      </c>
      <c r="K14" s="108"/>
      <c r="L14" s="121">
        <v>17.82</v>
      </c>
      <c r="M14" s="122">
        <v>125.02</v>
      </c>
      <c r="O14" s="84">
        <f>H14*POWER(DATOS!$E$9,I14)</f>
        <v>70.983758538193925</v>
      </c>
      <c r="P14" s="96">
        <f t="shared" si="0"/>
        <v>70.98</v>
      </c>
      <c r="R14" s="187"/>
    </row>
    <row r="15" spans="2:18" ht="20.100000000000001" customHeight="1" thickBot="1" x14ac:dyDescent="0.25">
      <c r="B15" s="354"/>
      <c r="C15" s="358"/>
      <c r="D15" s="225" t="s">
        <v>104</v>
      </c>
      <c r="E15" s="226" t="s">
        <v>69</v>
      </c>
      <c r="F15" s="227" t="s">
        <v>102</v>
      </c>
      <c r="G15" s="108"/>
      <c r="H15" s="228">
        <v>1136.9613999999999</v>
      </c>
      <c r="I15" s="229">
        <v>-0.30459999999999998</v>
      </c>
      <c r="J15" s="230" t="s">
        <v>14</v>
      </c>
      <c r="K15" s="108"/>
      <c r="L15" s="231">
        <v>19.179999999999996</v>
      </c>
      <c r="M15" s="232">
        <v>165.8000000000001</v>
      </c>
      <c r="O15" s="84">
        <f>H15*POWER(DATOS!$E$9,I15)</f>
        <v>79.095838576775421</v>
      </c>
      <c r="P15" s="96">
        <f t="shared" si="0"/>
        <v>79.099999999999994</v>
      </c>
      <c r="R15" s="187"/>
    </row>
    <row r="16" spans="2:18" ht="20.100000000000001" customHeight="1" thickBot="1" x14ac:dyDescent="0.25">
      <c r="B16" s="354"/>
      <c r="C16" s="359" t="s">
        <v>105</v>
      </c>
      <c r="D16" s="249" t="s">
        <v>49</v>
      </c>
      <c r="E16" s="250" t="s">
        <v>22</v>
      </c>
      <c r="F16" s="251" t="s">
        <v>100</v>
      </c>
      <c r="G16" s="108"/>
      <c r="H16" s="252">
        <v>-0.15720000000000001</v>
      </c>
      <c r="I16" s="253">
        <v>2.5100000000000001E-2</v>
      </c>
      <c r="J16" s="254" t="s">
        <v>14</v>
      </c>
      <c r="K16" s="201"/>
      <c r="L16" s="255">
        <v>0</v>
      </c>
      <c r="M16" s="256">
        <v>0.15</v>
      </c>
      <c r="O16" s="69">
        <f>H16+I16*LN(DATOS!$E$9)</f>
        <v>6.2441833352483128E-2</v>
      </c>
      <c r="P16" s="99">
        <f>ROUND(IF(AND(L16="-",M16="-"),O16,IF(O16&lt;SUM(L16),L16,IF(O16&gt;M16,M16,O16))),4)</f>
        <v>6.2399999999999997E-2</v>
      </c>
      <c r="R16" s="187"/>
    </row>
    <row r="17" spans="2:18" ht="20.100000000000001" customHeight="1" x14ac:dyDescent="0.2">
      <c r="B17" s="354"/>
      <c r="C17" s="360"/>
      <c r="D17" s="257" t="s">
        <v>101</v>
      </c>
      <c r="E17" s="258" t="s">
        <v>70</v>
      </c>
      <c r="F17" s="259" t="s">
        <v>102</v>
      </c>
      <c r="G17" s="108"/>
      <c r="H17" s="260">
        <v>36203.6587</v>
      </c>
      <c r="I17" s="261">
        <v>-0.13900000000000001</v>
      </c>
      <c r="J17" s="262" t="s">
        <v>14</v>
      </c>
      <c r="K17" s="108"/>
      <c r="L17" s="263">
        <v>4774.72</v>
      </c>
      <c r="M17" s="264">
        <v>12731.979999999996</v>
      </c>
      <c r="O17" s="84">
        <f>H17*POWER(DATOS!$E$9,I17)</f>
        <v>10727.568917374281</v>
      </c>
      <c r="P17" s="96">
        <f t="shared" si="0"/>
        <v>10727.57</v>
      </c>
      <c r="R17" s="187"/>
    </row>
    <row r="18" spans="2:18" ht="20.100000000000001" customHeight="1" x14ac:dyDescent="0.2">
      <c r="B18" s="354"/>
      <c r="C18" s="360"/>
      <c r="D18" s="80" t="s">
        <v>103</v>
      </c>
      <c r="E18" s="81" t="s">
        <v>70</v>
      </c>
      <c r="F18" s="202" t="s">
        <v>102</v>
      </c>
      <c r="G18" s="108"/>
      <c r="H18" s="119">
        <v>27130.102699999999</v>
      </c>
      <c r="I18" s="200">
        <v>-0.1168</v>
      </c>
      <c r="J18" s="120" t="s">
        <v>14</v>
      </c>
      <c r="K18" s="108"/>
      <c r="L18" s="123">
        <v>3623.2100000000023</v>
      </c>
      <c r="M18" s="124">
        <v>12879.200000000006</v>
      </c>
      <c r="O18" s="84">
        <f>H18*POWER(DATOS!$E$9,I18)</f>
        <v>9762.6665973200852</v>
      </c>
      <c r="P18" s="96">
        <f t="shared" si="0"/>
        <v>9762.67</v>
      </c>
      <c r="R18" s="187"/>
    </row>
    <row r="19" spans="2:18" ht="20.100000000000001" customHeight="1" thickBot="1" x14ac:dyDescent="0.25">
      <c r="B19" s="354"/>
      <c r="C19" s="361"/>
      <c r="D19" s="265" t="s">
        <v>104</v>
      </c>
      <c r="E19" s="266" t="s">
        <v>70</v>
      </c>
      <c r="F19" s="267" t="s">
        <v>102</v>
      </c>
      <c r="G19" s="108"/>
      <c r="H19" s="268">
        <v>46575.5101</v>
      </c>
      <c r="I19" s="269">
        <v>-0.1535</v>
      </c>
      <c r="J19" s="270" t="s">
        <v>14</v>
      </c>
      <c r="K19" s="108"/>
      <c r="L19" s="271">
        <v>5209.2999999999993</v>
      </c>
      <c r="M19" s="272">
        <v>16440.780000000013</v>
      </c>
      <c r="O19" s="84">
        <f>H19*POWER(DATOS!$E$9,I19)</f>
        <v>12156.292338254088</v>
      </c>
      <c r="P19" s="96">
        <f t="shared" si="0"/>
        <v>12156.29</v>
      </c>
      <c r="R19" s="187"/>
    </row>
    <row r="20" spans="2:18" ht="20.100000000000001" customHeight="1" thickBot="1" x14ac:dyDescent="0.25">
      <c r="B20" s="354"/>
      <c r="C20" s="273" t="s">
        <v>106</v>
      </c>
      <c r="D20" s="82" t="s">
        <v>50</v>
      </c>
      <c r="E20" s="83" t="s">
        <v>67</v>
      </c>
      <c r="F20" s="125" t="s">
        <v>97</v>
      </c>
      <c r="G20" s="108"/>
      <c r="H20" s="126">
        <v>236.7097</v>
      </c>
      <c r="I20" s="127">
        <v>-0.18609999999999999</v>
      </c>
      <c r="J20" s="128" t="s">
        <v>14</v>
      </c>
      <c r="K20" s="108"/>
      <c r="L20" s="129" t="s">
        <v>14</v>
      </c>
      <c r="M20" s="130">
        <v>105.34</v>
      </c>
      <c r="O20" s="84">
        <f>H20*POWER(DATOS!$E$9,I20)</f>
        <v>46.448059467353488</v>
      </c>
      <c r="P20" s="98">
        <f t="shared" si="0"/>
        <v>46.45</v>
      </c>
      <c r="R20" s="187"/>
    </row>
    <row r="21" spans="2:18" ht="20.100000000000001" customHeight="1" thickBot="1" x14ac:dyDescent="0.25">
      <c r="B21" s="355"/>
      <c r="C21" s="274" t="s">
        <v>79</v>
      </c>
      <c r="D21" s="275" t="s">
        <v>98</v>
      </c>
      <c r="E21" s="276" t="s">
        <v>16</v>
      </c>
      <c r="F21" s="277" t="s">
        <v>99</v>
      </c>
      <c r="G21" s="108"/>
      <c r="H21" s="278">
        <v>9.2600000000000002E-2</v>
      </c>
      <c r="I21" s="279"/>
      <c r="J21" s="280"/>
      <c r="K21" s="108"/>
      <c r="L21" s="281" t="s">
        <v>14</v>
      </c>
      <c r="M21" s="282" t="s">
        <v>14</v>
      </c>
      <c r="R21" s="187"/>
    </row>
    <row r="22" spans="2:18" ht="6.75" customHeight="1" thickBot="1" x14ac:dyDescent="0.25">
      <c r="F22" s="108"/>
      <c r="G22" s="108"/>
      <c r="H22" s="172"/>
      <c r="I22" s="172"/>
      <c r="J22" s="172"/>
      <c r="K22" s="108"/>
      <c r="L22" s="108"/>
      <c r="M22" s="173"/>
    </row>
    <row r="23" spans="2:18" ht="20.100000000000001" customHeight="1" x14ac:dyDescent="0.2">
      <c r="B23" s="349" t="s">
        <v>107</v>
      </c>
      <c r="C23" s="362" t="s">
        <v>65</v>
      </c>
      <c r="D23" s="73" t="s">
        <v>49</v>
      </c>
      <c r="E23" s="74" t="s">
        <v>108</v>
      </c>
      <c r="F23" s="110" t="s">
        <v>109</v>
      </c>
      <c r="G23" s="108"/>
      <c r="H23" s="131" t="s">
        <v>95</v>
      </c>
      <c r="I23" s="132"/>
      <c r="J23" s="133"/>
      <c r="K23" s="108"/>
      <c r="L23" s="109" t="s">
        <v>14</v>
      </c>
      <c r="M23" s="110" t="s">
        <v>14</v>
      </c>
      <c r="O23" s="100">
        <f>ROUND(IF(DATOS!E22=1,'BASE DATOS'!C91,IF(DATOS!E22=2,'BASE DATOS'!C92,IF(DATOS!E22=3,'BASE DATOS'!C93,IF(DATOS!E22=4,'BASE DATOS'!C94,'BASE DATOS'!C95)))),3)</f>
        <v>6.6000000000000003E-2</v>
      </c>
      <c r="R23" s="187"/>
    </row>
    <row r="24" spans="2:18" ht="20.100000000000001" customHeight="1" thickBot="1" x14ac:dyDescent="0.25">
      <c r="B24" s="350"/>
      <c r="C24" s="363"/>
      <c r="D24" s="76" t="s">
        <v>52</v>
      </c>
      <c r="E24" s="77" t="s">
        <v>110</v>
      </c>
      <c r="F24" s="117" t="s">
        <v>109</v>
      </c>
      <c r="G24" s="108"/>
      <c r="H24" s="134" t="s">
        <v>95</v>
      </c>
      <c r="I24" s="135"/>
      <c r="J24" s="136"/>
      <c r="K24" s="108"/>
      <c r="L24" s="137" t="s">
        <v>14</v>
      </c>
      <c r="M24" s="116" t="s">
        <v>14</v>
      </c>
      <c r="O24" s="96">
        <f>ROUND(IF(DATOS!E22=1,'BASE DATOS'!D91,IF(DATOS!E22=2,'BASE DATOS'!D92,IF(DATOS!E22=3,'BASE DATOS'!D93,IF(DATOS!E22=4,'BASE DATOS'!D94,'BASE DATOS'!D95)))),2)</f>
        <v>6674.78</v>
      </c>
      <c r="R24" s="187"/>
    </row>
    <row r="25" spans="2:18" ht="20.100000000000001" customHeight="1" thickBot="1" x14ac:dyDescent="0.25">
      <c r="B25" s="351"/>
      <c r="C25" s="283" t="s">
        <v>111</v>
      </c>
      <c r="D25" s="285" t="s">
        <v>50</v>
      </c>
      <c r="E25" s="292" t="s">
        <v>67</v>
      </c>
      <c r="F25" s="293" t="s">
        <v>97</v>
      </c>
      <c r="G25" s="108"/>
      <c r="H25" s="287">
        <v>477.8922</v>
      </c>
      <c r="I25" s="288">
        <v>-0.2989</v>
      </c>
      <c r="J25" s="294" t="s">
        <v>14</v>
      </c>
      <c r="K25" s="108"/>
      <c r="L25" s="295" t="s">
        <v>14</v>
      </c>
      <c r="M25" s="286">
        <v>130.24</v>
      </c>
      <c r="O25" s="84">
        <f>H25*POWER(DATOS!$E$9,I25)</f>
        <v>34.946199660926396</v>
      </c>
      <c r="P25" s="98">
        <f t="shared" ref="P25" si="1">ROUND(IF(AND(L25="-",M25="-"),O25,IF(O25&lt;SUM(L25),L25,IF(O25&gt;M25,M25,O25))),2)</f>
        <v>34.950000000000003</v>
      </c>
      <c r="R25" s="187"/>
    </row>
    <row r="26" spans="2:18" ht="6.75" customHeight="1" thickBot="1" x14ac:dyDescent="0.25">
      <c r="F26" s="108"/>
      <c r="G26" s="108"/>
      <c r="H26" s="172"/>
      <c r="I26" s="172"/>
      <c r="J26" s="172"/>
      <c r="K26" s="108"/>
      <c r="L26" s="108"/>
      <c r="M26" s="173"/>
    </row>
    <row r="27" spans="2:18" ht="20.100000000000001" customHeight="1" x14ac:dyDescent="0.2">
      <c r="B27" s="364" t="s">
        <v>112</v>
      </c>
      <c r="C27" s="362" t="s">
        <v>113</v>
      </c>
      <c r="D27" s="73" t="s">
        <v>49</v>
      </c>
      <c r="E27" s="74" t="s">
        <v>114</v>
      </c>
      <c r="F27" s="110" t="s">
        <v>115</v>
      </c>
      <c r="G27" s="108"/>
      <c r="H27" s="131" t="s">
        <v>116</v>
      </c>
      <c r="I27" s="132"/>
      <c r="J27" s="133"/>
      <c r="K27" s="108"/>
      <c r="L27" s="138" t="s">
        <v>14</v>
      </c>
      <c r="M27" s="139" t="s">
        <v>14</v>
      </c>
      <c r="O27" s="101">
        <f>((DATOS!$G$9*DATOS!$E$15)/1.5)/DATOS!$G$9</f>
        <v>0.55493333333333339</v>
      </c>
      <c r="R27" s="187"/>
    </row>
    <row r="28" spans="2:18" ht="20.100000000000001" customHeight="1" thickBot="1" x14ac:dyDescent="0.25">
      <c r="B28" s="365"/>
      <c r="C28" s="367"/>
      <c r="D28" s="79" t="s">
        <v>52</v>
      </c>
      <c r="E28" s="71" t="s">
        <v>117</v>
      </c>
      <c r="F28" s="116" t="s">
        <v>102</v>
      </c>
      <c r="G28" s="108"/>
      <c r="H28" s="140">
        <v>8058.4297999999999</v>
      </c>
      <c r="I28" s="113">
        <v>-0.21529999999999999</v>
      </c>
      <c r="J28" s="114" t="s">
        <v>14</v>
      </c>
      <c r="K28" s="108"/>
      <c r="L28" s="141" t="s">
        <v>14</v>
      </c>
      <c r="M28" s="142">
        <v>3159.02</v>
      </c>
      <c r="O28" s="84">
        <f>H28*POWER(DATOS!$E$9,I28)</f>
        <v>1224.7041839894866</v>
      </c>
      <c r="P28" s="98">
        <f t="shared" ref="P28" si="2">ROUND(IF(AND(L28="-",M28="-"),O28,IF(O28&lt;SUM(L28),L28,IF(O28&gt;M28,M28,O28))),2)</f>
        <v>1224.7</v>
      </c>
      <c r="R28" s="187"/>
    </row>
    <row r="29" spans="2:18" ht="20.100000000000001" customHeight="1" x14ac:dyDescent="0.2">
      <c r="B29" s="365"/>
      <c r="C29" s="328" t="s">
        <v>118</v>
      </c>
      <c r="D29" s="304" t="s">
        <v>49</v>
      </c>
      <c r="E29" s="305" t="s">
        <v>114</v>
      </c>
      <c r="F29" s="306" t="s">
        <v>115</v>
      </c>
      <c r="G29" s="108"/>
      <c r="H29" s="310" t="s">
        <v>116</v>
      </c>
      <c r="I29" s="311"/>
      <c r="J29" s="312"/>
      <c r="K29" s="108"/>
      <c r="L29" s="316" t="s">
        <v>14</v>
      </c>
      <c r="M29" s="317" t="s">
        <v>14</v>
      </c>
      <c r="O29" s="101">
        <f>(1-DATOS!$E$15)</f>
        <v>0.16759999999999997</v>
      </c>
      <c r="R29" s="187"/>
    </row>
    <row r="30" spans="2:18" ht="20.100000000000001" customHeight="1" thickBot="1" x14ac:dyDescent="0.25">
      <c r="B30" s="366"/>
      <c r="C30" s="329" t="s">
        <v>55</v>
      </c>
      <c r="D30" s="307" t="s">
        <v>52</v>
      </c>
      <c r="E30" s="308" t="s">
        <v>117</v>
      </c>
      <c r="F30" s="309" t="s">
        <v>99</v>
      </c>
      <c r="G30" s="108"/>
      <c r="H30" s="313">
        <v>276.72000000000003</v>
      </c>
      <c r="I30" s="314" t="s">
        <v>14</v>
      </c>
      <c r="J30" s="315" t="s">
        <v>14</v>
      </c>
      <c r="K30" s="108"/>
      <c r="L30" s="313" t="s">
        <v>14</v>
      </c>
      <c r="M30" s="318" t="s">
        <v>14</v>
      </c>
      <c r="O30" s="96">
        <f>H30</f>
        <v>276.72000000000003</v>
      </c>
      <c r="R30" s="187"/>
    </row>
    <row r="31" spans="2:18" ht="6.75" customHeight="1" thickBot="1" x14ac:dyDescent="0.25">
      <c r="F31" s="108"/>
      <c r="G31" s="108"/>
      <c r="H31" s="172"/>
      <c r="I31" s="172"/>
      <c r="J31" s="172"/>
      <c r="K31" s="108"/>
      <c r="L31" s="174"/>
      <c r="M31" s="175"/>
    </row>
    <row r="32" spans="2:18" ht="20.100000000000001" customHeight="1" thickBot="1" x14ac:dyDescent="0.25">
      <c r="B32" s="233" t="s">
        <v>119</v>
      </c>
      <c r="C32" s="85" t="s">
        <v>120</v>
      </c>
      <c r="D32" s="86" t="s">
        <v>50</v>
      </c>
      <c r="E32" s="87" t="s">
        <v>67</v>
      </c>
      <c r="F32" s="143" t="s">
        <v>97</v>
      </c>
      <c r="G32" s="108"/>
      <c r="H32" s="144">
        <v>231.5675</v>
      </c>
      <c r="I32" s="145">
        <v>-0.33900000000000002</v>
      </c>
      <c r="J32" s="146" t="s">
        <v>14</v>
      </c>
      <c r="K32" s="108"/>
      <c r="L32" s="147" t="s">
        <v>14</v>
      </c>
      <c r="M32" s="148">
        <v>53</v>
      </c>
      <c r="O32" s="84">
        <f>H32*POWER(DATOS!$E$9,I32)</f>
        <v>11.92210281631924</v>
      </c>
      <c r="P32" s="98">
        <f t="shared" ref="P32" si="3">ROUND(IF(AND(L32="-",M32="-"),O32,IF(O32&lt;SUM(L32),L32,IF(O32&gt;M32,M32,O32))),2)</f>
        <v>11.92</v>
      </c>
      <c r="R32" s="187"/>
    </row>
    <row r="33" spans="2:18" ht="6.75" customHeight="1" thickBot="1" x14ac:dyDescent="0.25">
      <c r="F33" s="108"/>
      <c r="G33" s="108"/>
      <c r="H33" s="172"/>
      <c r="I33" s="172"/>
      <c r="J33" s="172"/>
      <c r="K33" s="108"/>
      <c r="L33" s="174"/>
      <c r="M33" s="175"/>
    </row>
    <row r="34" spans="2:18" ht="20.100000000000001" customHeight="1" x14ac:dyDescent="0.2">
      <c r="B34" s="234" t="s">
        <v>121</v>
      </c>
      <c r="C34" s="352" t="s">
        <v>122</v>
      </c>
      <c r="D34" s="296" t="s">
        <v>49</v>
      </c>
      <c r="E34" s="297" t="s">
        <v>123</v>
      </c>
      <c r="F34" s="298" t="s">
        <v>99</v>
      </c>
      <c r="G34" s="108"/>
      <c r="H34" s="301">
        <v>0.56169999999999998</v>
      </c>
      <c r="I34" s="302" t="s">
        <v>14</v>
      </c>
      <c r="J34" s="303" t="s">
        <v>14</v>
      </c>
      <c r="K34" s="108"/>
      <c r="L34" s="299" t="s">
        <v>14</v>
      </c>
      <c r="M34" s="300" t="s">
        <v>14</v>
      </c>
      <c r="O34" s="102">
        <f>H34</f>
        <v>0.56169999999999998</v>
      </c>
      <c r="R34" s="187"/>
    </row>
    <row r="35" spans="2:18" ht="20.100000000000001" customHeight="1" thickBot="1" x14ac:dyDescent="0.25">
      <c r="B35" s="235" t="s">
        <v>124</v>
      </c>
      <c r="C35" s="353"/>
      <c r="D35" s="79" t="s">
        <v>52</v>
      </c>
      <c r="E35" s="71" t="s">
        <v>67</v>
      </c>
      <c r="F35" s="116" t="s">
        <v>102</v>
      </c>
      <c r="G35" s="108"/>
      <c r="H35" s="149">
        <v>36830.169600000001</v>
      </c>
      <c r="I35" s="150">
        <v>-0.31919999999999998</v>
      </c>
      <c r="J35" s="151" t="s">
        <v>14</v>
      </c>
      <c r="K35" s="108"/>
      <c r="L35" s="141" t="s">
        <v>14</v>
      </c>
      <c r="M35" s="142">
        <v>9189.2199999999993</v>
      </c>
      <c r="O35" s="84">
        <f>H35*POWER(DATOS!$E$9,I35)</f>
        <v>2254.894672484822</v>
      </c>
      <c r="P35" s="98">
        <f t="shared" ref="P35" si="4">ROUND(IF(AND(L35="-",M35="-"),O35,IF(O35&lt;SUM(L35),L35,IF(O35&gt;M35,M35,O35))),2)</f>
        <v>2254.89</v>
      </c>
      <c r="R35" s="187"/>
    </row>
    <row r="36" spans="2:18" ht="6.75" customHeight="1" thickBot="1" x14ac:dyDescent="0.25">
      <c r="F36" s="108"/>
      <c r="G36" s="108"/>
      <c r="H36" s="172"/>
      <c r="I36" s="172"/>
      <c r="J36" s="172"/>
      <c r="K36" s="108"/>
      <c r="L36" s="174"/>
      <c r="M36" s="175"/>
    </row>
    <row r="37" spans="2:18" ht="20.100000000000001" customHeight="1" thickBot="1" x14ac:dyDescent="0.25">
      <c r="B37" s="233" t="s">
        <v>125</v>
      </c>
      <c r="C37" s="85" t="s">
        <v>126</v>
      </c>
      <c r="D37" s="86" t="s">
        <v>50</v>
      </c>
      <c r="E37" s="87" t="s">
        <v>67</v>
      </c>
      <c r="F37" s="176" t="s">
        <v>174</v>
      </c>
      <c r="G37" s="108"/>
      <c r="H37" s="144">
        <v>69.895499999999998</v>
      </c>
      <c r="I37" s="145">
        <v>0.54049999999999998</v>
      </c>
      <c r="J37" s="146" t="s">
        <v>14</v>
      </c>
      <c r="K37" s="108"/>
      <c r="L37" s="147" t="s">
        <v>14</v>
      </c>
      <c r="M37" s="148" t="s">
        <v>14</v>
      </c>
      <c r="O37" s="84">
        <f>H37*POWER(DATOS!E24,I37)</f>
        <v>725.01748057843133</v>
      </c>
      <c r="P37" s="98">
        <f t="shared" ref="P37" si="5">ROUND(IF(AND(L37="-",M37="-"),O37,IF(O37&lt;SUM(L37),L37,IF(O37&gt;M37,M37,O37))),2)</f>
        <v>725.02</v>
      </c>
      <c r="R37" s="187"/>
    </row>
    <row r="38" spans="2:18" ht="6.75" customHeight="1" thickBot="1" x14ac:dyDescent="0.25">
      <c r="F38" s="108"/>
      <c r="G38" s="108"/>
      <c r="H38" s="172"/>
      <c r="I38" s="172"/>
      <c r="J38" s="172"/>
      <c r="K38" s="108"/>
      <c r="L38" s="174"/>
      <c r="M38" s="175"/>
    </row>
    <row r="39" spans="2:18" ht="20.100000000000001" customHeight="1" x14ac:dyDescent="0.2">
      <c r="B39" s="349" t="s">
        <v>127</v>
      </c>
      <c r="C39" s="352" t="s">
        <v>128</v>
      </c>
      <c r="D39" s="88" t="s">
        <v>49</v>
      </c>
      <c r="E39" s="74" t="s">
        <v>123</v>
      </c>
      <c r="F39" s="110" t="s">
        <v>109</v>
      </c>
      <c r="G39" s="108"/>
      <c r="H39" s="177" t="s">
        <v>95</v>
      </c>
      <c r="I39" s="132"/>
      <c r="J39" s="133"/>
      <c r="K39" s="108"/>
      <c r="L39" s="138" t="s">
        <v>14</v>
      </c>
      <c r="M39" s="139" t="s">
        <v>14</v>
      </c>
      <c r="O39" s="102">
        <f>ROUND(IF(DATOS!E22=1,'BASE DATOS'!C102,IF(DATOS!E22=2,'BASE DATOS'!C103,IF(DATOS!E22=3,'BASE DATOS'!C104,IF(DATOS!E22=4,'BASE DATOS'!C105,'BASE DATOS'!C106)))),4)</f>
        <v>0.74309999999999998</v>
      </c>
    </row>
    <row r="40" spans="2:18" ht="20.100000000000001" customHeight="1" thickBot="1" x14ac:dyDescent="0.25">
      <c r="B40" s="350"/>
      <c r="C40" s="353"/>
      <c r="D40" s="76" t="s">
        <v>52</v>
      </c>
      <c r="E40" s="77" t="s">
        <v>67</v>
      </c>
      <c r="F40" s="116" t="s">
        <v>175</v>
      </c>
      <c r="G40" s="108"/>
      <c r="H40" s="149">
        <v>2.5999999999999999E-3</v>
      </c>
      <c r="I40" s="203">
        <v>1.0395000000000001</v>
      </c>
      <c r="J40" s="178" t="s">
        <v>14</v>
      </c>
      <c r="K40" s="108"/>
      <c r="L40" s="179" t="s">
        <v>14</v>
      </c>
      <c r="M40" s="142">
        <v>713.76</v>
      </c>
      <c r="O40" s="204">
        <f>H40*POWER(DATOS!E32,I40)</f>
        <v>289.15711720134487</v>
      </c>
      <c r="P40" s="98">
        <f t="shared" ref="P40:P41" si="6">ROUND(IF(AND(L40="-",M40="-"),O40,IF(O40&lt;SUM(L40),L40,IF(O40&gt;M40,M40,O40))),2)</f>
        <v>289.16000000000003</v>
      </c>
    </row>
    <row r="41" spans="2:18" ht="20.100000000000001" customHeight="1" thickBot="1" x14ac:dyDescent="0.25">
      <c r="B41" s="351"/>
      <c r="C41" s="330" t="s">
        <v>56</v>
      </c>
      <c r="D41" s="319" t="s">
        <v>50</v>
      </c>
      <c r="E41" s="276" t="s">
        <v>67</v>
      </c>
      <c r="F41" s="277" t="s">
        <v>176</v>
      </c>
      <c r="G41" s="108"/>
      <c r="H41" s="320">
        <v>2.8605000000000001E-5</v>
      </c>
      <c r="I41" s="321">
        <v>1.2645</v>
      </c>
      <c r="J41" s="322" t="s">
        <v>14</v>
      </c>
      <c r="K41" s="108"/>
      <c r="L41" s="281" t="s">
        <v>14</v>
      </c>
      <c r="M41" s="282">
        <v>187.06</v>
      </c>
      <c r="O41" s="103">
        <f>H41*POWER(DATOS!E36,I41)</f>
        <v>0</v>
      </c>
      <c r="P41" s="98">
        <f t="shared" si="6"/>
        <v>0</v>
      </c>
    </row>
    <row r="42" spans="2:18" ht="6.75" customHeight="1" thickBot="1" x14ac:dyDescent="0.25">
      <c r="F42" s="108"/>
      <c r="G42" s="108"/>
      <c r="H42" s="172"/>
      <c r="I42" s="172"/>
      <c r="J42" s="172"/>
      <c r="K42" s="108"/>
      <c r="L42" s="108"/>
      <c r="M42" s="173"/>
    </row>
    <row r="43" spans="2:18" ht="20.100000000000001" customHeight="1" x14ac:dyDescent="0.2">
      <c r="B43" s="349" t="s">
        <v>129</v>
      </c>
      <c r="C43" s="352" t="s">
        <v>130</v>
      </c>
      <c r="D43" s="88" t="s">
        <v>49</v>
      </c>
      <c r="E43" s="74" t="s">
        <v>108</v>
      </c>
      <c r="F43" s="110" t="s">
        <v>177</v>
      </c>
      <c r="G43" s="108"/>
      <c r="H43" s="106">
        <v>1.6899999999999998E-2</v>
      </c>
      <c r="I43" s="167">
        <v>0.27229999999999999</v>
      </c>
      <c r="J43" s="107" t="s">
        <v>14</v>
      </c>
      <c r="K43" s="108"/>
      <c r="L43" s="109" t="s">
        <v>14</v>
      </c>
      <c r="M43" s="110">
        <v>1.0325</v>
      </c>
      <c r="O43" s="69">
        <f>H43*POWER(DATOS!E9,I43)</f>
        <v>0.18311625792360084</v>
      </c>
      <c r="P43" s="99">
        <f>ROUND(IF(AND(L43="-",M43="-"),O43,IF(O43&lt;SUM(L43),L43,IF(O43&gt;M43,M43,O43))),4)</f>
        <v>0.18310000000000001</v>
      </c>
    </row>
    <row r="44" spans="2:18" ht="20.100000000000001" customHeight="1" thickBot="1" x14ac:dyDescent="0.25">
      <c r="B44" s="350"/>
      <c r="C44" s="353"/>
      <c r="D44" s="76" t="s">
        <v>52</v>
      </c>
      <c r="E44" s="77" t="s">
        <v>110</v>
      </c>
      <c r="F44" s="116" t="s">
        <v>99</v>
      </c>
      <c r="G44" s="108"/>
      <c r="H44" s="180">
        <v>84.13</v>
      </c>
      <c r="I44" s="150" t="s">
        <v>14</v>
      </c>
      <c r="J44" s="151" t="s">
        <v>14</v>
      </c>
      <c r="K44" s="108"/>
      <c r="L44" s="137" t="s">
        <v>14</v>
      </c>
      <c r="M44" s="116" t="s">
        <v>14</v>
      </c>
      <c r="O44" s="96">
        <f>H44</f>
        <v>84.13</v>
      </c>
    </row>
    <row r="45" spans="2:18" ht="20.100000000000001" customHeight="1" thickBot="1" x14ac:dyDescent="0.25">
      <c r="B45" s="351"/>
      <c r="C45" s="283" t="s">
        <v>131</v>
      </c>
      <c r="D45" s="285" t="s">
        <v>50</v>
      </c>
      <c r="E45" s="292" t="s">
        <v>67</v>
      </c>
      <c r="F45" s="293" t="s">
        <v>97</v>
      </c>
      <c r="G45" s="108"/>
      <c r="H45" s="287">
        <v>11698.0692</v>
      </c>
      <c r="I45" s="288">
        <v>-0.47099999999999997</v>
      </c>
      <c r="J45" s="323" t="s">
        <v>14</v>
      </c>
      <c r="K45" s="108"/>
      <c r="L45" s="295" t="s">
        <v>14</v>
      </c>
      <c r="M45" s="291">
        <v>1508.05</v>
      </c>
      <c r="O45" s="84">
        <f>H45*POWER(DATOS!$E$9,I45)</f>
        <v>189.73212419049037</v>
      </c>
      <c r="P45" s="98">
        <f t="shared" ref="P45" si="7">ROUND(IF(AND(L45="-",M45="-"),O45,IF(O45&lt;SUM(L45),L45,IF(O45&gt;M45,M45,O45))),2)</f>
        <v>189.73</v>
      </c>
    </row>
    <row r="46" spans="2:18" ht="6.75" customHeight="1" thickBot="1" x14ac:dyDescent="0.25">
      <c r="F46" s="108"/>
      <c r="G46" s="108"/>
      <c r="H46" s="172"/>
      <c r="I46" s="172"/>
      <c r="J46" s="172"/>
      <c r="K46" s="108"/>
      <c r="L46" s="108"/>
      <c r="M46" s="173"/>
    </row>
    <row r="47" spans="2:18" ht="20.100000000000001" customHeight="1" x14ac:dyDescent="0.2">
      <c r="B47" s="234" t="s">
        <v>132</v>
      </c>
      <c r="C47" s="89" t="s">
        <v>133</v>
      </c>
      <c r="D47" s="90" t="s">
        <v>50</v>
      </c>
      <c r="E47" s="91" t="s">
        <v>67</v>
      </c>
      <c r="F47" s="166" t="s">
        <v>134</v>
      </c>
      <c r="G47" s="108"/>
      <c r="H47" s="177" t="s">
        <v>95</v>
      </c>
      <c r="I47" s="132"/>
      <c r="J47" s="133"/>
      <c r="K47" s="108"/>
      <c r="L47" s="181" t="s">
        <v>14</v>
      </c>
      <c r="M47" s="166" t="s">
        <v>14</v>
      </c>
      <c r="O47" s="96">
        <f>IF(DATOS!E40=1,'BASE DATOS'!D113,IF(DATOS!E40=2,'BASE DATOS'!D114,'BASE DATOS'!D115))</f>
        <v>92.1</v>
      </c>
    </row>
    <row r="48" spans="2:18" ht="20.100000000000001" customHeight="1" thickBot="1" x14ac:dyDescent="0.25">
      <c r="B48" s="235" t="s">
        <v>135</v>
      </c>
      <c r="C48" s="331" t="s">
        <v>136</v>
      </c>
      <c r="D48" s="307" t="s">
        <v>50</v>
      </c>
      <c r="E48" s="308" t="s">
        <v>67</v>
      </c>
      <c r="F48" s="309" t="s">
        <v>170</v>
      </c>
      <c r="G48" s="108"/>
      <c r="H48" s="324">
        <v>572.78510000000006</v>
      </c>
      <c r="I48" s="325">
        <v>317.18009999999998</v>
      </c>
      <c r="J48" s="326" t="s">
        <v>14</v>
      </c>
      <c r="K48" s="108"/>
      <c r="L48" s="327">
        <v>95.11</v>
      </c>
      <c r="M48" s="318" t="s">
        <v>14</v>
      </c>
      <c r="O48" s="84">
        <f>IF(DATOS!E44=0,L48,$H$48+$I$48*LN(DATOS!E44))</f>
        <v>1153.5355773457304</v>
      </c>
      <c r="P48" s="98">
        <f t="shared" ref="P48" si="8">ROUND(IF(AND(L48="-",M48="-"),O48,IF(O48&lt;SUM(L48),L48,IF(O48&gt;M48,M48,O48))),2)</f>
        <v>1153.54</v>
      </c>
    </row>
    <row r="49" spans="2:8" x14ac:dyDescent="0.2">
      <c r="B49" s="152"/>
      <c r="C49" s="153"/>
      <c r="D49" s="153"/>
      <c r="E49" s="153"/>
      <c r="F49" s="153"/>
      <c r="G49" s="153"/>
      <c r="H49" s="154"/>
    </row>
    <row r="50" spans="2:8" x14ac:dyDescent="0.2">
      <c r="B50" s="152"/>
      <c r="C50" s="153"/>
      <c r="D50" s="153"/>
      <c r="E50" s="153"/>
      <c r="F50" s="153"/>
      <c r="G50" s="153"/>
      <c r="H50" s="154"/>
    </row>
    <row r="51" spans="2:8" x14ac:dyDescent="0.2">
      <c r="B51" s="152"/>
      <c r="C51" s="153"/>
      <c r="D51" s="153"/>
      <c r="E51" s="153"/>
      <c r="F51" s="153"/>
      <c r="G51" s="153"/>
      <c r="H51" s="154"/>
    </row>
    <row r="52" spans="2:8" x14ac:dyDescent="0.2">
      <c r="B52" s="152"/>
      <c r="C52" s="153"/>
      <c r="D52" s="153"/>
      <c r="E52" s="153"/>
      <c r="F52" s="153"/>
      <c r="G52" s="153"/>
      <c r="H52" s="154"/>
    </row>
    <row r="53" spans="2:8" x14ac:dyDescent="0.2">
      <c r="B53" s="152"/>
      <c r="C53" s="153"/>
      <c r="D53" s="153"/>
      <c r="E53" s="153"/>
      <c r="F53" s="153"/>
      <c r="G53" s="153"/>
      <c r="H53" s="154"/>
    </row>
    <row r="54" spans="2:8" x14ac:dyDescent="0.2">
      <c r="B54" s="152"/>
      <c r="C54" s="153"/>
      <c r="D54" s="153"/>
      <c r="E54" s="153"/>
      <c r="F54" s="153"/>
      <c r="G54" s="153"/>
      <c r="H54" s="154"/>
    </row>
    <row r="55" spans="2:8" x14ac:dyDescent="0.2">
      <c r="B55" s="152"/>
      <c r="C55" s="153"/>
      <c r="D55" s="153"/>
      <c r="E55" s="153"/>
      <c r="F55" s="153"/>
      <c r="G55" s="153"/>
      <c r="H55" s="154"/>
    </row>
    <row r="56" spans="2:8" x14ac:dyDescent="0.2">
      <c r="B56" s="152"/>
      <c r="C56" s="153"/>
      <c r="D56" s="153"/>
      <c r="E56" s="153"/>
      <c r="F56" s="153"/>
      <c r="G56" s="153"/>
      <c r="H56" s="154"/>
    </row>
    <row r="57" spans="2:8" x14ac:dyDescent="0.2">
      <c r="B57" s="152"/>
      <c r="C57" s="153"/>
      <c r="D57" s="153"/>
      <c r="E57" s="153"/>
      <c r="F57" s="153"/>
      <c r="G57" s="153"/>
      <c r="H57" s="154"/>
    </row>
    <row r="58" spans="2:8" x14ac:dyDescent="0.2">
      <c r="B58" s="152"/>
      <c r="C58" s="153"/>
      <c r="D58" s="153"/>
      <c r="E58" s="153"/>
      <c r="F58" s="153"/>
      <c r="G58" s="153"/>
      <c r="H58" s="154"/>
    </row>
    <row r="59" spans="2:8" x14ac:dyDescent="0.2">
      <c r="B59" s="152"/>
      <c r="C59" s="153"/>
      <c r="D59" s="153"/>
      <c r="E59" s="153"/>
      <c r="F59" s="153"/>
      <c r="G59" s="153"/>
      <c r="H59" s="154"/>
    </row>
    <row r="60" spans="2:8" x14ac:dyDescent="0.2">
      <c r="B60" s="152"/>
      <c r="C60" s="153"/>
      <c r="D60" s="153"/>
      <c r="E60" s="153"/>
      <c r="F60" s="153"/>
      <c r="G60" s="153"/>
      <c r="H60" s="154"/>
    </row>
    <row r="61" spans="2:8" x14ac:dyDescent="0.2">
      <c r="B61" s="152"/>
      <c r="C61" s="153"/>
      <c r="D61" s="153"/>
      <c r="E61" s="153"/>
      <c r="F61" s="153"/>
      <c r="G61" s="153"/>
      <c r="H61" s="154"/>
    </row>
    <row r="62" spans="2:8" x14ac:dyDescent="0.2">
      <c r="B62" s="152"/>
      <c r="C62" s="153"/>
      <c r="D62" s="153"/>
      <c r="E62" s="153"/>
      <c r="F62" s="153"/>
      <c r="G62" s="153"/>
      <c r="H62" s="154"/>
    </row>
    <row r="63" spans="2:8" x14ac:dyDescent="0.2">
      <c r="B63" s="152"/>
      <c r="C63" s="153"/>
      <c r="D63" s="153"/>
      <c r="E63" s="153"/>
      <c r="F63" s="153"/>
      <c r="G63" s="153"/>
      <c r="H63" s="154"/>
    </row>
    <row r="64" spans="2:8" x14ac:dyDescent="0.2">
      <c r="B64" s="152"/>
      <c r="C64" s="153"/>
      <c r="D64" s="153"/>
      <c r="E64" s="153"/>
      <c r="F64" s="153"/>
      <c r="G64" s="153"/>
      <c r="H64" s="154"/>
    </row>
    <row r="65" spans="1:14" x14ac:dyDescent="0.2">
      <c r="B65" s="152"/>
      <c r="C65" s="153"/>
      <c r="D65" s="153"/>
      <c r="E65" s="153"/>
      <c r="F65" s="153"/>
      <c r="G65" s="153"/>
      <c r="H65" s="154"/>
    </row>
    <row r="66" spans="1:14" x14ac:dyDescent="0.2">
      <c r="B66" s="152"/>
      <c r="C66" s="153"/>
      <c r="D66" s="153"/>
      <c r="E66" s="153"/>
      <c r="F66" s="153"/>
      <c r="G66" s="153"/>
      <c r="H66" s="154"/>
    </row>
    <row r="67" spans="1:14" x14ac:dyDescent="0.2">
      <c r="B67" s="152"/>
      <c r="C67" s="153"/>
      <c r="D67" s="153"/>
      <c r="E67" s="153"/>
      <c r="F67" s="153"/>
      <c r="G67" s="153"/>
      <c r="H67" s="154"/>
    </row>
    <row r="68" spans="1:14" x14ac:dyDescent="0.2">
      <c r="B68" s="152"/>
      <c r="C68" s="153"/>
      <c r="D68" s="153"/>
      <c r="E68" s="153"/>
      <c r="F68" s="153"/>
      <c r="G68" s="153"/>
      <c r="H68" s="154"/>
    </row>
    <row r="69" spans="1:14" x14ac:dyDescent="0.2">
      <c r="B69" s="152"/>
      <c r="C69" s="153"/>
      <c r="D69" s="153"/>
      <c r="E69" s="153"/>
      <c r="F69" s="153"/>
      <c r="G69" s="153"/>
      <c r="H69" s="154"/>
    </row>
    <row r="70" spans="1:14" x14ac:dyDescent="0.2">
      <c r="B70" s="152"/>
      <c r="C70" s="153"/>
      <c r="D70" s="153"/>
      <c r="E70" s="153"/>
      <c r="F70" s="153"/>
      <c r="G70" s="153"/>
      <c r="H70" s="154"/>
    </row>
    <row r="71" spans="1:14" x14ac:dyDescent="0.2">
      <c r="B71" s="152"/>
      <c r="C71" s="153"/>
      <c r="D71" s="153"/>
      <c r="E71" s="153"/>
      <c r="F71" s="153"/>
      <c r="G71" s="153"/>
      <c r="H71" s="154"/>
    </row>
    <row r="72" spans="1:14" x14ac:dyDescent="0.2">
      <c r="B72" s="152"/>
      <c r="C72" s="153"/>
      <c r="D72" s="153"/>
      <c r="E72" s="153"/>
      <c r="F72" s="153"/>
      <c r="G72" s="153"/>
      <c r="H72" s="154"/>
    </row>
    <row r="73" spans="1:14" s="68" customFormat="1" x14ac:dyDescent="0.2">
      <c r="A73" s="67"/>
      <c r="B73" s="152"/>
      <c r="C73" s="152"/>
      <c r="D73" s="153"/>
      <c r="E73" s="153"/>
      <c r="F73" s="153"/>
      <c r="G73" s="153"/>
      <c r="H73" s="154"/>
      <c r="I73" s="69"/>
      <c r="J73" s="69"/>
      <c r="M73" s="67"/>
      <c r="N73" s="67"/>
    </row>
    <row r="74" spans="1:14" s="68" customFormat="1" hidden="1" x14ac:dyDescent="0.2">
      <c r="A74" s="67"/>
      <c r="B74" s="155" t="s">
        <v>90</v>
      </c>
      <c r="C74" s="153"/>
      <c r="D74" s="153"/>
      <c r="E74" s="153"/>
      <c r="F74" s="153"/>
      <c r="G74" s="153"/>
      <c r="H74" s="154"/>
      <c r="I74" s="69"/>
      <c r="J74" s="69"/>
      <c r="M74" s="67"/>
      <c r="N74" s="67"/>
    </row>
    <row r="75" spans="1:14" s="68" customFormat="1" hidden="1" x14ac:dyDescent="0.2">
      <c r="A75" s="67"/>
      <c r="B75" s="156" t="s">
        <v>137</v>
      </c>
      <c r="C75" s="153"/>
      <c r="D75" s="153"/>
      <c r="E75" s="153"/>
      <c r="F75" s="153"/>
      <c r="G75" s="153"/>
      <c r="H75" s="154"/>
      <c r="I75" s="69"/>
      <c r="J75" s="69"/>
      <c r="M75" s="67"/>
      <c r="N75" s="67"/>
    </row>
    <row r="76" spans="1:14" s="68" customFormat="1" ht="14.25" hidden="1" thickBot="1" x14ac:dyDescent="0.25">
      <c r="A76" s="67"/>
      <c r="B76" s="67"/>
      <c r="H76" s="69"/>
      <c r="I76" s="69"/>
      <c r="J76" s="69"/>
      <c r="M76" s="67"/>
      <c r="N76" s="67"/>
    </row>
    <row r="77" spans="1:14" s="68" customFormat="1" ht="14.25" hidden="1" thickBot="1" x14ac:dyDescent="0.25">
      <c r="A77" s="67"/>
      <c r="B77" s="94" t="s">
        <v>59</v>
      </c>
      <c r="C77" s="182" t="s">
        <v>54</v>
      </c>
      <c r="D77" s="108"/>
      <c r="H77" s="69"/>
      <c r="I77" s="69"/>
      <c r="J77" s="69"/>
      <c r="M77" s="67"/>
      <c r="N77" s="67"/>
    </row>
    <row r="78" spans="1:14" s="68" customFormat="1" ht="14.25" hidden="1" thickBot="1" x14ac:dyDescent="0.25">
      <c r="A78" s="67"/>
      <c r="B78" s="71" t="s">
        <v>138</v>
      </c>
      <c r="C78" s="183" t="s">
        <v>68</v>
      </c>
      <c r="D78" s="108"/>
      <c r="H78" s="69"/>
      <c r="I78" s="69"/>
      <c r="J78" s="69"/>
      <c r="M78" s="67"/>
      <c r="N78" s="67"/>
    </row>
    <row r="79" spans="1:14" s="68" customFormat="1" hidden="1" x14ac:dyDescent="0.2">
      <c r="A79" s="67"/>
      <c r="B79" s="108" t="s">
        <v>57</v>
      </c>
      <c r="C79" s="188">
        <v>1420.72</v>
      </c>
      <c r="D79" s="108"/>
      <c r="H79" s="69"/>
      <c r="I79" s="69"/>
      <c r="J79" s="69"/>
      <c r="M79" s="67"/>
      <c r="N79" s="67"/>
    </row>
    <row r="80" spans="1:14" s="68" customFormat="1" hidden="1" x14ac:dyDescent="0.2">
      <c r="A80" s="67"/>
      <c r="B80" s="111" t="s">
        <v>156</v>
      </c>
      <c r="C80" s="189">
        <v>1553.7</v>
      </c>
      <c r="D80" s="108"/>
      <c r="H80" s="69"/>
      <c r="I80" s="69"/>
      <c r="J80" s="69"/>
      <c r="M80" s="67"/>
      <c r="N80" s="67"/>
    </row>
    <row r="81" spans="1:14" s="68" customFormat="1" hidden="1" x14ac:dyDescent="0.2">
      <c r="A81" s="67"/>
      <c r="B81" s="111" t="s">
        <v>157</v>
      </c>
      <c r="C81" s="189">
        <v>1487.08</v>
      </c>
      <c r="D81" s="108"/>
      <c r="H81" s="69"/>
      <c r="I81" s="69"/>
      <c r="J81" s="69"/>
      <c r="M81" s="67"/>
      <c r="N81" s="67"/>
    </row>
    <row r="82" spans="1:14" s="68" customFormat="1" hidden="1" x14ac:dyDescent="0.2">
      <c r="A82" s="67"/>
      <c r="B82" s="111" t="s">
        <v>158</v>
      </c>
      <c r="C82" s="189">
        <v>1878.86</v>
      </c>
      <c r="D82" s="108"/>
      <c r="H82" s="69"/>
      <c r="I82" s="69"/>
      <c r="J82" s="69"/>
      <c r="M82" s="67"/>
      <c r="N82" s="67"/>
    </row>
    <row r="83" spans="1:14" s="68" customFormat="1" hidden="1" x14ac:dyDescent="0.2">
      <c r="A83" s="67"/>
      <c r="B83" s="111" t="s">
        <v>159</v>
      </c>
      <c r="C83" s="189">
        <v>1787.6</v>
      </c>
      <c r="D83" s="108"/>
      <c r="H83" s="69"/>
      <c r="I83" s="69"/>
      <c r="J83" s="69"/>
      <c r="M83" s="67"/>
      <c r="N83" s="67"/>
    </row>
    <row r="84" spans="1:14" s="68" customFormat="1" ht="14.25" hidden="1" thickBot="1" x14ac:dyDescent="0.25">
      <c r="A84" s="67"/>
      <c r="B84" s="112" t="s">
        <v>160</v>
      </c>
      <c r="C84" s="190">
        <v>1720.25</v>
      </c>
      <c r="D84" s="108"/>
      <c r="H84" s="69"/>
      <c r="I84" s="69"/>
      <c r="J84" s="69"/>
      <c r="M84" s="67"/>
      <c r="N84" s="67"/>
    </row>
    <row r="85" spans="1:14" hidden="1" x14ac:dyDescent="0.2">
      <c r="C85" s="108"/>
      <c r="D85" s="108"/>
    </row>
    <row r="86" spans="1:14" s="68" customFormat="1" hidden="1" x14ac:dyDescent="0.2">
      <c r="A86" s="67"/>
      <c r="B86" s="92" t="s">
        <v>25</v>
      </c>
      <c r="C86" s="108"/>
      <c r="D86" s="108"/>
      <c r="H86" s="69"/>
      <c r="I86" s="69"/>
      <c r="J86" s="69"/>
      <c r="M86" s="67"/>
      <c r="N86" s="67"/>
    </row>
    <row r="87" spans="1:14" s="68" customFormat="1" hidden="1" x14ac:dyDescent="0.2">
      <c r="A87" s="67"/>
      <c r="B87" s="93" t="s">
        <v>139</v>
      </c>
      <c r="C87" s="108"/>
      <c r="D87" s="108"/>
      <c r="H87" s="69"/>
      <c r="I87" s="69"/>
      <c r="J87" s="69"/>
      <c r="M87" s="67"/>
      <c r="N87" s="67"/>
    </row>
    <row r="88" spans="1:14" s="68" customFormat="1" ht="14.25" hidden="1" thickBot="1" x14ac:dyDescent="0.25">
      <c r="A88" s="67"/>
      <c r="B88" s="67"/>
      <c r="C88" s="108"/>
      <c r="D88" s="173"/>
      <c r="H88" s="69"/>
      <c r="I88" s="69"/>
      <c r="J88" s="69"/>
      <c r="M88" s="67"/>
      <c r="N88" s="67"/>
    </row>
    <row r="89" spans="1:14" s="68" customFormat="1" ht="14.25" hidden="1" thickBot="1" x14ac:dyDescent="0.25">
      <c r="A89" s="67"/>
      <c r="B89" s="67"/>
      <c r="C89" s="184" t="s">
        <v>49</v>
      </c>
      <c r="D89" s="184" t="s">
        <v>54</v>
      </c>
      <c r="H89" s="69"/>
      <c r="I89" s="69"/>
      <c r="J89" s="69"/>
      <c r="M89" s="67"/>
      <c r="N89" s="67"/>
    </row>
    <row r="90" spans="1:14" s="68" customFormat="1" ht="14.25" hidden="1" thickBot="1" x14ac:dyDescent="0.25">
      <c r="A90" s="67"/>
      <c r="B90" s="70" t="s">
        <v>51</v>
      </c>
      <c r="C90" s="183" t="s">
        <v>53</v>
      </c>
      <c r="D90" s="183" t="s">
        <v>75</v>
      </c>
      <c r="H90" s="69"/>
      <c r="I90" s="69"/>
      <c r="J90" s="69"/>
      <c r="M90" s="67"/>
      <c r="N90" s="67"/>
    </row>
    <row r="91" spans="1:14" s="68" customFormat="1" hidden="1" x14ac:dyDescent="0.2">
      <c r="A91" s="67"/>
      <c r="B91" s="67" t="s">
        <v>140</v>
      </c>
      <c r="C91" s="191">
        <v>6.6000000000000003E-2</v>
      </c>
      <c r="D91" s="192">
        <v>6674.78</v>
      </c>
      <c r="H91" s="69"/>
      <c r="I91" s="69"/>
      <c r="J91" s="69"/>
      <c r="M91" s="67"/>
      <c r="N91" s="67"/>
    </row>
    <row r="92" spans="1:14" s="68" customFormat="1" hidden="1" x14ac:dyDescent="0.2">
      <c r="A92" s="67"/>
      <c r="B92" s="67" t="s">
        <v>141</v>
      </c>
      <c r="C92" s="193">
        <v>0.13300000000000001</v>
      </c>
      <c r="D92" s="194">
        <v>6000</v>
      </c>
      <c r="H92" s="69"/>
      <c r="I92" s="69"/>
      <c r="J92" s="69"/>
      <c r="M92" s="67"/>
      <c r="N92" s="67"/>
    </row>
    <row r="93" spans="1:14" s="68" customFormat="1" hidden="1" x14ac:dyDescent="0.2">
      <c r="A93" s="67"/>
      <c r="B93" s="67" t="s">
        <v>142</v>
      </c>
      <c r="C93" s="193">
        <v>0.109</v>
      </c>
      <c r="D93" s="194">
        <v>5905.41</v>
      </c>
      <c r="H93" s="69"/>
      <c r="I93" s="69"/>
      <c r="J93" s="69"/>
      <c r="M93" s="67"/>
      <c r="N93" s="67"/>
    </row>
    <row r="94" spans="1:14" s="68" customFormat="1" hidden="1" x14ac:dyDescent="0.2">
      <c r="A94" s="67"/>
      <c r="B94" s="67" t="s">
        <v>143</v>
      </c>
      <c r="C94" s="193">
        <v>3.5000000000000003E-2</v>
      </c>
      <c r="D94" s="194">
        <v>6717.14</v>
      </c>
      <c r="H94" s="69"/>
      <c r="I94" s="69"/>
      <c r="J94" s="69"/>
      <c r="M94" s="67"/>
      <c r="N94" s="67"/>
    </row>
    <row r="95" spans="1:14" s="68" customFormat="1" ht="14.25" hidden="1" thickBot="1" x14ac:dyDescent="0.25">
      <c r="A95" s="67"/>
      <c r="B95" s="70" t="s">
        <v>144</v>
      </c>
      <c r="C95" s="195">
        <v>3.4000000000000002E-2</v>
      </c>
      <c r="D95" s="196">
        <v>7000</v>
      </c>
      <c r="H95" s="69"/>
      <c r="I95" s="69"/>
      <c r="J95" s="69"/>
      <c r="M95" s="67"/>
      <c r="N95" s="67"/>
    </row>
    <row r="96" spans="1:14" hidden="1" x14ac:dyDescent="0.2">
      <c r="C96" s="108"/>
      <c r="D96" s="108"/>
    </row>
    <row r="97" spans="1:16" s="68" customFormat="1" hidden="1" x14ac:dyDescent="0.2">
      <c r="A97" s="67"/>
      <c r="B97" s="92" t="s">
        <v>127</v>
      </c>
      <c r="C97" s="108"/>
      <c r="D97" s="108"/>
      <c r="H97" s="69"/>
      <c r="I97" s="69"/>
      <c r="J97" s="69"/>
      <c r="M97" s="67"/>
      <c r="N97" s="67"/>
    </row>
    <row r="98" spans="1:16" s="68" customFormat="1" hidden="1" x14ac:dyDescent="0.2">
      <c r="A98" s="67"/>
      <c r="B98" s="93" t="s">
        <v>145</v>
      </c>
      <c r="C98" s="108"/>
      <c r="D98" s="108"/>
      <c r="H98" s="69"/>
      <c r="I98" s="69"/>
      <c r="J98" s="69"/>
      <c r="M98" s="67"/>
      <c r="N98" s="67"/>
    </row>
    <row r="99" spans="1:16" s="68" customFormat="1" ht="14.25" hidden="1" thickBot="1" x14ac:dyDescent="0.25">
      <c r="A99" s="67"/>
      <c r="B99" s="67"/>
      <c r="C99" s="108"/>
      <c r="D99" s="108"/>
      <c r="H99" s="69"/>
      <c r="I99" s="69"/>
      <c r="J99" s="69"/>
      <c r="M99" s="67"/>
      <c r="N99" s="67"/>
    </row>
    <row r="100" spans="1:16" s="68" customFormat="1" ht="14.25" hidden="1" thickBot="1" x14ac:dyDescent="0.25">
      <c r="A100" s="67"/>
      <c r="B100" s="67"/>
      <c r="C100" s="184" t="s">
        <v>49</v>
      </c>
      <c r="D100" s="108"/>
      <c r="H100" s="69"/>
      <c r="I100" s="69"/>
      <c r="J100" s="69"/>
      <c r="M100" s="67"/>
      <c r="N100" s="67"/>
    </row>
    <row r="101" spans="1:16" s="68" customFormat="1" ht="14.25" hidden="1" thickBot="1" x14ac:dyDescent="0.25">
      <c r="A101" s="67"/>
      <c r="B101" s="70" t="s">
        <v>51</v>
      </c>
      <c r="C101" s="183" t="s">
        <v>123</v>
      </c>
      <c r="D101" s="108"/>
      <c r="H101" s="69"/>
      <c r="I101" s="69"/>
      <c r="J101" s="69"/>
      <c r="M101" s="67"/>
      <c r="N101" s="67"/>
    </row>
    <row r="102" spans="1:16" s="68" customFormat="1" hidden="1" x14ac:dyDescent="0.2">
      <c r="A102" s="67"/>
      <c r="B102" s="67" t="s">
        <v>140</v>
      </c>
      <c r="C102" s="197">
        <v>0.74309999999999998</v>
      </c>
      <c r="D102" s="108"/>
      <c r="H102" s="69"/>
      <c r="I102" s="69"/>
      <c r="J102" s="69"/>
      <c r="M102" s="67"/>
      <c r="N102" s="67"/>
    </row>
    <row r="103" spans="1:16" s="68" customFormat="1" hidden="1" x14ac:dyDescent="0.2">
      <c r="A103" s="67"/>
      <c r="B103" s="67" t="s">
        <v>141</v>
      </c>
      <c r="C103" s="198">
        <v>0.64029999999999998</v>
      </c>
      <c r="D103" s="108"/>
      <c r="H103" s="69"/>
      <c r="I103" s="69"/>
      <c r="J103" s="69"/>
      <c r="M103" s="67"/>
      <c r="N103" s="67"/>
    </row>
    <row r="104" spans="1:16" s="68" customFormat="1" hidden="1" x14ac:dyDescent="0.2">
      <c r="A104" s="67"/>
      <c r="B104" s="67" t="s">
        <v>142</v>
      </c>
      <c r="C104" s="198">
        <v>0.48780000000000001</v>
      </c>
      <c r="D104" s="108"/>
      <c r="H104" s="69"/>
      <c r="I104" s="69"/>
      <c r="J104" s="69"/>
      <c r="M104" s="67"/>
      <c r="N104" s="67"/>
    </row>
    <row r="105" spans="1:16" s="68" customFormat="1" hidden="1" x14ac:dyDescent="0.2">
      <c r="A105" s="67"/>
      <c r="B105" s="67" t="s">
        <v>143</v>
      </c>
      <c r="C105" s="198">
        <v>0.76239999999999997</v>
      </c>
      <c r="D105" s="108"/>
      <c r="H105" s="69"/>
      <c r="I105" s="69"/>
      <c r="J105" s="69"/>
      <c r="M105" s="67"/>
      <c r="N105" s="67"/>
    </row>
    <row r="106" spans="1:16" s="68" customFormat="1" ht="14.25" hidden="1" thickBot="1" x14ac:dyDescent="0.25">
      <c r="A106" s="67"/>
      <c r="B106" s="70" t="s">
        <v>144</v>
      </c>
      <c r="C106" s="199">
        <v>0.95640000000000003</v>
      </c>
      <c r="D106" s="108"/>
      <c r="H106" s="69"/>
      <c r="I106" s="69"/>
      <c r="J106" s="69"/>
      <c r="M106" s="67"/>
      <c r="N106" s="67"/>
    </row>
    <row r="107" spans="1:16" hidden="1" x14ac:dyDescent="0.2">
      <c r="C107" s="108"/>
      <c r="D107" s="108"/>
      <c r="P107" s="68"/>
    </row>
    <row r="108" spans="1:16" s="68" customFormat="1" hidden="1" x14ac:dyDescent="0.2">
      <c r="A108" s="67"/>
      <c r="B108" s="92" t="s">
        <v>146</v>
      </c>
      <c r="C108" s="108"/>
      <c r="D108" s="108"/>
      <c r="H108" s="69"/>
      <c r="I108" s="69"/>
      <c r="J108" s="69"/>
      <c r="M108" s="67"/>
      <c r="N108" s="67"/>
    </row>
    <row r="109" spans="1:16" s="68" customFormat="1" hidden="1" x14ac:dyDescent="0.2">
      <c r="A109" s="67"/>
      <c r="B109" s="93" t="s">
        <v>147</v>
      </c>
      <c r="C109" s="108"/>
      <c r="D109" s="108"/>
      <c r="H109" s="69"/>
      <c r="I109" s="69"/>
      <c r="J109" s="69"/>
      <c r="M109" s="67"/>
      <c r="N109" s="67"/>
    </row>
    <row r="110" spans="1:16" s="68" customFormat="1" ht="14.25" hidden="1" thickBot="1" x14ac:dyDescent="0.25">
      <c r="A110" s="67"/>
      <c r="B110" s="67"/>
      <c r="C110" s="108"/>
      <c r="D110" s="108"/>
      <c r="H110" s="69"/>
      <c r="I110" s="69"/>
      <c r="J110" s="69"/>
      <c r="M110" s="67"/>
      <c r="N110" s="67"/>
    </row>
    <row r="111" spans="1:16" s="68" customFormat="1" ht="14.25" hidden="1" thickBot="1" x14ac:dyDescent="0.25">
      <c r="A111" s="67"/>
      <c r="B111" s="67"/>
      <c r="C111" s="108"/>
      <c r="D111" s="184" t="s">
        <v>50</v>
      </c>
      <c r="H111" s="69"/>
      <c r="I111" s="69"/>
      <c r="J111" s="69"/>
      <c r="M111" s="67"/>
      <c r="N111" s="67"/>
    </row>
    <row r="112" spans="1:16" s="68" customFormat="1" ht="14.25" hidden="1" thickBot="1" x14ac:dyDescent="0.25">
      <c r="A112" s="67"/>
      <c r="B112" s="70" t="s">
        <v>148</v>
      </c>
      <c r="C112" s="108"/>
      <c r="D112" s="183" t="s">
        <v>67</v>
      </c>
      <c r="H112" s="69"/>
      <c r="I112" s="69"/>
      <c r="J112" s="69"/>
      <c r="M112" s="67"/>
      <c r="N112" s="67"/>
    </row>
    <row r="113" spans="1:14" s="68" customFormat="1" hidden="1" x14ac:dyDescent="0.2">
      <c r="A113" s="67"/>
      <c r="B113" s="67" t="s">
        <v>149</v>
      </c>
      <c r="C113" s="185"/>
      <c r="D113" s="188">
        <v>92.1</v>
      </c>
      <c r="H113" s="69"/>
      <c r="I113" s="69"/>
      <c r="J113" s="69"/>
      <c r="M113" s="67"/>
      <c r="N113" s="67"/>
    </row>
    <row r="114" spans="1:14" s="68" customFormat="1" hidden="1" x14ac:dyDescent="0.2">
      <c r="A114" s="67"/>
      <c r="B114" s="67" t="s">
        <v>150</v>
      </c>
      <c r="C114" s="186"/>
      <c r="D114" s="189">
        <v>112.25</v>
      </c>
      <c r="H114" s="69"/>
      <c r="I114" s="69"/>
      <c r="J114" s="69"/>
      <c r="M114" s="67"/>
      <c r="N114" s="67"/>
    </row>
    <row r="115" spans="1:14" s="68" customFormat="1" ht="14.25" hidden="1" thickBot="1" x14ac:dyDescent="0.25">
      <c r="A115" s="67"/>
      <c r="B115" s="70" t="s">
        <v>151</v>
      </c>
      <c r="C115" s="183"/>
      <c r="D115" s="190">
        <v>387.26</v>
      </c>
      <c r="H115" s="69"/>
      <c r="I115" s="69"/>
      <c r="J115" s="69"/>
      <c r="M115" s="67"/>
      <c r="N115" s="67"/>
    </row>
  </sheetData>
  <sheetProtection password="CD89" sheet="1" objects="1" scenarios="1"/>
  <mergeCells count="13">
    <mergeCell ref="B43:B45"/>
    <mergeCell ref="C43:C44"/>
    <mergeCell ref="B7:B10"/>
    <mergeCell ref="B12:B21"/>
    <mergeCell ref="C12:C15"/>
    <mergeCell ref="C16:C19"/>
    <mergeCell ref="B23:B25"/>
    <mergeCell ref="C23:C24"/>
    <mergeCell ref="B27:B30"/>
    <mergeCell ref="C27:C28"/>
    <mergeCell ref="C34:C35"/>
    <mergeCell ref="B39:B41"/>
    <mergeCell ref="C39:C40"/>
  </mergeCells>
  <printOptions horizontalCentered="1" verticalCentered="1"/>
  <pageMargins left="0.51181102362204722" right="0.51181102362204722" top="0.6692913385826772" bottom="0.6692913385826772" header="0.31496062992125984" footer="0.31496062992125984"/>
  <pageSetup scale="85" orientation="landscape" r:id="rId1"/>
  <headerFooter>
    <oddFooter>&amp;R&amp;8Costos Promedio - Cosecha 1819
(Metodología 2015, Junta Directiva)</oddFooter>
  </headerFooter>
  <rowBreaks count="1" manualBreakCount="1">
    <brk id="36" max="13" man="1"/>
  </rowBreaks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663300"/>
  </sheetPr>
  <dimension ref="B1:I44"/>
  <sheetViews>
    <sheetView showGridLines="0" zoomScale="110" zoomScaleNormal="110" workbookViewId="0">
      <selection activeCell="A2" sqref="A2"/>
    </sheetView>
  </sheetViews>
  <sheetFormatPr baseColWidth="10" defaultRowHeight="12.75" x14ac:dyDescent="0.2"/>
  <cols>
    <col min="1" max="1" width="1.42578125" style="31" customWidth="1"/>
    <col min="2" max="2" width="32.140625" customWidth="1"/>
    <col min="3" max="3" width="18.140625" customWidth="1"/>
    <col min="4" max="4" width="10.140625" bestFit="1" customWidth="1"/>
    <col min="5" max="5" width="13.7109375" customWidth="1"/>
    <col min="6" max="6" width="10.7109375" bestFit="1" customWidth="1"/>
    <col min="7" max="7" width="12.28515625" customWidth="1"/>
    <col min="8" max="8" width="1.42578125" customWidth="1"/>
    <col min="9" max="9" width="7.7109375" bestFit="1" customWidth="1"/>
    <col min="10" max="10" width="1.42578125" style="31" customWidth="1"/>
    <col min="11" max="16384" width="11.42578125" style="31"/>
  </cols>
  <sheetData>
    <row r="1" spans="2:9" ht="4.5" customHeight="1" x14ac:dyDescent="0.2"/>
    <row r="2" spans="2:9" ht="15.75" x14ac:dyDescent="0.25">
      <c r="B2" s="3" t="s">
        <v>0</v>
      </c>
      <c r="C2" s="3"/>
      <c r="D2" s="3"/>
      <c r="E2" s="3"/>
      <c r="F2" s="3"/>
      <c r="G2" s="4"/>
      <c r="H2" s="4"/>
      <c r="I2" s="4"/>
    </row>
    <row r="3" spans="2:9" ht="15.75" x14ac:dyDescent="0.25">
      <c r="B3" s="3" t="str">
        <f>DATOS!E5</f>
        <v>EL GRANO DE CAFÉ MÁS ECOLÓGICO</v>
      </c>
      <c r="C3" s="3"/>
      <c r="D3" s="3"/>
      <c r="E3" s="3"/>
      <c r="F3" s="3"/>
      <c r="G3" s="4"/>
      <c r="H3" s="4"/>
      <c r="I3" s="4"/>
    </row>
    <row r="4" spans="2:9" ht="15.75" x14ac:dyDescent="0.25">
      <c r="B4" s="3" t="s">
        <v>178</v>
      </c>
      <c r="C4" s="3"/>
      <c r="D4" s="3"/>
      <c r="E4" s="3"/>
      <c r="F4" s="3"/>
      <c r="G4" s="4"/>
      <c r="H4" s="4"/>
      <c r="I4" s="4"/>
    </row>
    <row r="5" spans="2:9" ht="7.5" customHeight="1" x14ac:dyDescent="0.25">
      <c r="B5" s="3"/>
      <c r="C5" s="3"/>
      <c r="D5" s="3"/>
      <c r="E5" s="3"/>
      <c r="F5" s="3"/>
      <c r="G5" s="4"/>
      <c r="H5" s="5"/>
      <c r="I5" s="5"/>
    </row>
    <row r="6" spans="2:9" ht="13.5" thickBot="1" x14ac:dyDescent="0.25">
      <c r="B6" s="5"/>
      <c r="C6" s="6" t="s">
        <v>1</v>
      </c>
      <c r="D6" s="332" t="s">
        <v>2</v>
      </c>
      <c r="E6" s="6" t="s">
        <v>3</v>
      </c>
      <c r="F6" s="332" t="s">
        <v>2</v>
      </c>
      <c r="G6" s="7" t="s">
        <v>4</v>
      </c>
      <c r="H6" s="5"/>
      <c r="I6" s="5"/>
    </row>
    <row r="7" spans="2:9" ht="13.5" thickBot="1" x14ac:dyDescent="0.25">
      <c r="B7" s="8" t="s">
        <v>5</v>
      </c>
      <c r="C7" s="9" t="s">
        <v>6</v>
      </c>
      <c r="D7" s="333" t="s">
        <v>7</v>
      </c>
      <c r="E7" s="9" t="s">
        <v>66</v>
      </c>
      <c r="F7" s="333" t="s">
        <v>8</v>
      </c>
      <c r="G7" s="9" t="s">
        <v>67</v>
      </c>
      <c r="H7" s="10"/>
      <c r="I7" s="11" t="s">
        <v>9</v>
      </c>
    </row>
    <row r="8" spans="2:9" x14ac:dyDescent="0.2">
      <c r="B8" s="5"/>
      <c r="C8" s="5"/>
      <c r="D8" s="334"/>
      <c r="E8" s="5"/>
      <c r="F8" s="334"/>
      <c r="G8" s="5"/>
      <c r="H8" s="10"/>
      <c r="I8" s="12"/>
    </row>
    <row r="9" spans="2:9" x14ac:dyDescent="0.2">
      <c r="B9" s="13" t="s">
        <v>10</v>
      </c>
      <c r="C9" s="14"/>
      <c r="D9" s="335"/>
      <c r="E9" s="14"/>
      <c r="F9" s="335"/>
      <c r="G9" s="62">
        <f>IF(SUM(G10:G12)=0,"",SUM(G10:G12))</f>
        <v>10372.323551824578</v>
      </c>
      <c r="H9" s="10"/>
      <c r="I9" s="15">
        <f>IF(G9="","",G9/$G$39)</f>
        <v>0.60727442397582521</v>
      </c>
    </row>
    <row r="10" spans="2:9" x14ac:dyDescent="0.2">
      <c r="B10" s="16" t="s">
        <v>11</v>
      </c>
      <c r="C10" s="54">
        <f>'BASE DATOS'!P7</f>
        <v>3.0122300000000002</v>
      </c>
      <c r="D10" s="336" t="s">
        <v>12</v>
      </c>
      <c r="E10" s="24">
        <f>'BASE DATOS'!O8</f>
        <v>1878.86</v>
      </c>
      <c r="F10" s="336" t="s">
        <v>68</v>
      </c>
      <c r="G10" s="63">
        <f>IF(SUM(C10,E10)=0,"",IF(C10="-",E10,C10*E10))</f>
        <v>5659.5584577999998</v>
      </c>
      <c r="H10" s="40"/>
      <c r="I10" s="41">
        <f t="shared" ref="I10:I25" si="0">IF(G10="","",G10/$G$39)</f>
        <v>0.33135344122710331</v>
      </c>
    </row>
    <row r="11" spans="2:9" x14ac:dyDescent="0.2">
      <c r="B11" s="16" t="s">
        <v>13</v>
      </c>
      <c r="C11" s="17" t="s">
        <v>14</v>
      </c>
      <c r="D11" s="336" t="s">
        <v>14</v>
      </c>
      <c r="E11" s="24">
        <f>'BASE DATOS'!P9</f>
        <v>1513.06</v>
      </c>
      <c r="F11" s="336" t="s">
        <v>67</v>
      </c>
      <c r="G11" s="63">
        <f>IF(SUM(C11,E11)=0,"",IF(C11="-",E11,C11*E11))</f>
        <v>1513.06</v>
      </c>
      <c r="H11" s="40"/>
      <c r="I11" s="41">
        <f t="shared" si="0"/>
        <v>8.858599862894076E-2</v>
      </c>
    </row>
    <row r="12" spans="2:9" x14ac:dyDescent="0.2">
      <c r="B12" s="16" t="s">
        <v>15</v>
      </c>
      <c r="C12" s="345">
        <f>DATOS!E28*100</f>
        <v>44.61</v>
      </c>
      <c r="D12" s="336" t="s">
        <v>16</v>
      </c>
      <c r="E12" s="18" t="s">
        <v>14</v>
      </c>
      <c r="F12" s="336" t="s">
        <v>14</v>
      </c>
      <c r="G12" s="63">
        <f>IF(SUM(G10:G11)=0,"",SUM(G10:G11)*C12/100)</f>
        <v>3199.7050940245799</v>
      </c>
      <c r="H12" s="40"/>
      <c r="I12" s="41">
        <f t="shared" si="0"/>
        <v>0.18733498411978125</v>
      </c>
    </row>
    <row r="13" spans="2:9" ht="18" customHeight="1" x14ac:dyDescent="0.2">
      <c r="B13" s="13" t="s">
        <v>17</v>
      </c>
      <c r="C13" s="14"/>
      <c r="D13" s="337"/>
      <c r="E13" s="19"/>
      <c r="F13" s="337"/>
      <c r="G13" s="64">
        <f>IF(SUM(G14,G19)=0,"",SUM(G14,G19))</f>
        <v>2312.6364029296001</v>
      </c>
      <c r="H13" s="40"/>
      <c r="I13" s="25">
        <f t="shared" si="0"/>
        <v>0.13539926058395574</v>
      </c>
    </row>
    <row r="14" spans="2:9" x14ac:dyDescent="0.2">
      <c r="B14" s="20" t="s">
        <v>18</v>
      </c>
      <c r="C14" s="21"/>
      <c r="D14" s="338"/>
      <c r="E14" s="22"/>
      <c r="F14" s="338"/>
      <c r="G14" s="65">
        <f>IF(SUM(G15:G18)=0,"",SUM(G15:G18))</f>
        <v>1837.1509229296</v>
      </c>
      <c r="H14" s="40"/>
      <c r="I14" s="42">
        <f t="shared" si="0"/>
        <v>0.10756073727400024</v>
      </c>
    </row>
    <row r="15" spans="2:9" x14ac:dyDescent="0.2">
      <c r="B15" s="23" t="s">
        <v>19</v>
      </c>
      <c r="C15" s="24">
        <f>'BASE DATOS'!P12</f>
        <v>11.13</v>
      </c>
      <c r="D15" s="336" t="s">
        <v>20</v>
      </c>
      <c r="E15" s="24">
        <f>IF(DATOS!E17=1,'BASE DATOS'!P13,IF(DATOS!E17=2,'BASE DATOS'!P15,'BASE DATOS'!P14))</f>
        <v>79.099999999999994</v>
      </c>
      <c r="F15" s="336" t="s">
        <v>69</v>
      </c>
      <c r="G15" s="63">
        <f>IF(SUM(C15,E15)=0,"",IF(C15="-",E15,C15*E15))</f>
        <v>880.38300000000004</v>
      </c>
      <c r="H15" s="40"/>
      <c r="I15" s="41">
        <f t="shared" si="0"/>
        <v>5.1544292513808286E-2</v>
      </c>
    </row>
    <row r="16" spans="2:9" x14ac:dyDescent="0.2">
      <c r="B16" s="23" t="s">
        <v>21</v>
      </c>
      <c r="C16" s="55">
        <f>'BASE DATOS'!P16</f>
        <v>6.2399999999999997E-2</v>
      </c>
      <c r="D16" s="336" t="s">
        <v>22</v>
      </c>
      <c r="E16" s="24">
        <f>IF(DATOS!E17=1,'BASE DATOS'!P17,IF(DATOS!E17=2,'BASE DATOS'!P19,'BASE DATOS'!P18))</f>
        <v>12156.29</v>
      </c>
      <c r="F16" s="336" t="s">
        <v>70</v>
      </c>
      <c r="G16" s="63">
        <f>IF(SUM(C16,E16)=0,"",IF(C16="-",E16,C16*E16))</f>
        <v>758.55249600000002</v>
      </c>
      <c r="H16" s="40"/>
      <c r="I16" s="41">
        <f t="shared" si="0"/>
        <v>4.4411411557132963E-2</v>
      </c>
    </row>
    <row r="17" spans="2:9" x14ac:dyDescent="0.2">
      <c r="B17" s="23" t="s">
        <v>23</v>
      </c>
      <c r="C17" s="17" t="s">
        <v>14</v>
      </c>
      <c r="D17" s="336" t="s">
        <v>14</v>
      </c>
      <c r="E17" s="24">
        <f>'BASE DATOS'!P20</f>
        <v>46.45</v>
      </c>
      <c r="F17" s="336" t="s">
        <v>67</v>
      </c>
      <c r="G17" s="63">
        <f>IF(SUM(C17,E17)=0,"",IF(C17="-",E17,C17*E17))</f>
        <v>46.45</v>
      </c>
      <c r="H17" s="40"/>
      <c r="I17" s="41">
        <f t="shared" si="0"/>
        <v>2.7195350060898438E-3</v>
      </c>
    </row>
    <row r="18" spans="2:9" x14ac:dyDescent="0.2">
      <c r="B18" s="23" t="s">
        <v>24</v>
      </c>
      <c r="C18" s="345">
        <f>DATOS!$E$20*100</f>
        <v>9.26</v>
      </c>
      <c r="D18" s="336" t="s">
        <v>16</v>
      </c>
      <c r="E18" s="18" t="s">
        <v>14</v>
      </c>
      <c r="F18" s="336" t="s">
        <v>14</v>
      </c>
      <c r="G18" s="63">
        <f>IF(SUM(G15:G16)=0,"",SUM(G15:G16)*C18/100)</f>
        <v>151.76542692960001</v>
      </c>
      <c r="H18" s="43"/>
      <c r="I18" s="41">
        <f t="shared" si="0"/>
        <v>8.8854981969691601E-3</v>
      </c>
    </row>
    <row r="19" spans="2:9" ht="15.75" customHeight="1" x14ac:dyDescent="0.2">
      <c r="B19" s="20" t="s">
        <v>25</v>
      </c>
      <c r="C19" s="5"/>
      <c r="D19" s="336"/>
      <c r="E19" s="18"/>
      <c r="F19" s="336"/>
      <c r="G19" s="65">
        <f>IF(SUM(G20:G21)=0,"",SUM(G20:G21))</f>
        <v>475.48548</v>
      </c>
      <c r="H19" s="43"/>
      <c r="I19" s="42">
        <f t="shared" si="0"/>
        <v>2.7838523309955482E-2</v>
      </c>
    </row>
    <row r="20" spans="2:9" ht="14.25" x14ac:dyDescent="0.2">
      <c r="B20" s="23" t="s">
        <v>26</v>
      </c>
      <c r="C20" s="56">
        <f>'BASE DATOS'!O23</f>
        <v>6.6000000000000003E-2</v>
      </c>
      <c r="D20" s="336" t="s">
        <v>41</v>
      </c>
      <c r="E20" s="24">
        <f>'BASE DATOS'!O24</f>
        <v>6674.78</v>
      </c>
      <c r="F20" s="336" t="s">
        <v>71</v>
      </c>
      <c r="G20" s="63">
        <f>IF(SUM(C20,E20)=0,"",IF(C20="-",E20,C20*E20))</f>
        <v>440.53548000000001</v>
      </c>
      <c r="H20" s="44"/>
      <c r="I20" s="41">
        <f t="shared" si="0"/>
        <v>2.579228545284375E-2</v>
      </c>
    </row>
    <row r="21" spans="2:9" x14ac:dyDescent="0.2">
      <c r="B21" s="23" t="s">
        <v>27</v>
      </c>
      <c r="C21" s="17" t="s">
        <v>14</v>
      </c>
      <c r="D21" s="336" t="s">
        <v>14</v>
      </c>
      <c r="E21" s="24">
        <f>'BASE DATOS'!P25</f>
        <v>34.950000000000003</v>
      </c>
      <c r="F21" s="336" t="s">
        <v>67</v>
      </c>
      <c r="G21" s="63">
        <f>IF(SUM(C21,E21)=0,"",IF(C21="-",E21,C21*E21))</f>
        <v>34.950000000000003</v>
      </c>
      <c r="H21" s="45"/>
      <c r="I21" s="41">
        <f t="shared" si="0"/>
        <v>2.0462378571117338E-3</v>
      </c>
    </row>
    <row r="22" spans="2:9" ht="17.25" customHeight="1" x14ac:dyDescent="0.2">
      <c r="B22" s="13" t="s">
        <v>28</v>
      </c>
      <c r="C22" s="19"/>
      <c r="D22" s="337"/>
      <c r="E22" s="19"/>
      <c r="F22" s="337"/>
      <c r="G22" s="64">
        <f>IF(SUM(G23:G25)=0,"",SUM(G23:G25))</f>
        <v>737.92512533333343</v>
      </c>
      <c r="H22" s="45"/>
      <c r="I22" s="25">
        <f t="shared" si="0"/>
        <v>4.3203728960543281E-2</v>
      </c>
    </row>
    <row r="23" spans="2:9" x14ac:dyDescent="0.2">
      <c r="B23" s="16" t="s">
        <v>29</v>
      </c>
      <c r="C23" s="55">
        <f>'BASE DATOS'!O27</f>
        <v>0.55493333333333339</v>
      </c>
      <c r="D23" s="336" t="s">
        <v>74</v>
      </c>
      <c r="E23" s="24">
        <f>'BASE DATOS'!P28</f>
        <v>1224.7</v>
      </c>
      <c r="F23" s="336" t="s">
        <v>72</v>
      </c>
      <c r="G23" s="63">
        <f>IF(SUM(C23,E23)=0,"",IF(C23="-",E23,C23*E23))</f>
        <v>679.62685333333343</v>
      </c>
      <c r="H23" s="45"/>
      <c r="I23" s="41">
        <f t="shared" si="0"/>
        <v>3.9790506323330206E-2</v>
      </c>
    </row>
    <row r="24" spans="2:9" x14ac:dyDescent="0.2">
      <c r="B24" s="16" t="s">
        <v>30</v>
      </c>
      <c r="C24" s="55">
        <f>'BASE DATOS'!O29</f>
        <v>0.16759999999999997</v>
      </c>
      <c r="D24" s="336" t="s">
        <v>74</v>
      </c>
      <c r="E24" s="24">
        <f>'BASE DATOS'!O30</f>
        <v>276.72000000000003</v>
      </c>
      <c r="F24" s="336" t="s">
        <v>72</v>
      </c>
      <c r="G24" s="63">
        <f>IF(SUM(C24,E24)=0,"",IF(C24="-",E24,C24*E24))</f>
        <v>46.378271999999996</v>
      </c>
      <c r="H24" s="45"/>
      <c r="I24" s="41">
        <f t="shared" si="0"/>
        <v>2.7153355054027211E-3</v>
      </c>
    </row>
    <row r="25" spans="2:9" x14ac:dyDescent="0.2">
      <c r="B25" s="16" t="s">
        <v>31</v>
      </c>
      <c r="C25" s="17" t="s">
        <v>14</v>
      </c>
      <c r="D25" s="336" t="s">
        <v>14</v>
      </c>
      <c r="E25" s="24">
        <f>'BASE DATOS'!P32</f>
        <v>11.92</v>
      </c>
      <c r="F25" s="336" t="s">
        <v>67</v>
      </c>
      <c r="G25" s="63">
        <f>IF(SUM(C25,E25)=0,"",IF(C25="-",E25,C25*E25))</f>
        <v>11.92</v>
      </c>
      <c r="H25" s="45"/>
      <c r="I25" s="41">
        <f t="shared" si="0"/>
        <v>6.9788713181035376E-4</v>
      </c>
    </row>
    <row r="26" spans="2:9" ht="4.5" customHeight="1" x14ac:dyDescent="0.2">
      <c r="B26" s="16"/>
      <c r="C26" s="17"/>
      <c r="D26" s="336"/>
      <c r="E26" s="24"/>
      <c r="F26" s="336"/>
      <c r="G26" s="63"/>
      <c r="H26" s="45"/>
      <c r="I26" s="41"/>
    </row>
    <row r="27" spans="2:9" x14ac:dyDescent="0.2">
      <c r="B27" s="5" t="s">
        <v>32</v>
      </c>
      <c r="C27" s="24">
        <f>'BASE DATOS'!H34*100</f>
        <v>56.169999999999995</v>
      </c>
      <c r="D27" s="336" t="s">
        <v>16</v>
      </c>
      <c r="E27" s="24">
        <f>'BASE DATOS'!P35</f>
        <v>2254.89</v>
      </c>
      <c r="F27" s="336" t="s">
        <v>67</v>
      </c>
      <c r="G27" s="63">
        <f>IF(SUM(C27,E27)=0,"",IF(C27="-",E27,C27*E27/100))</f>
        <v>1266.5717129999998</v>
      </c>
      <c r="H27" s="46"/>
      <c r="I27" s="41">
        <f t="shared" ref="I27:I37" si="1">IF(G27="","",G27/$G$39)</f>
        <v>7.4154706377323534E-2</v>
      </c>
    </row>
    <row r="28" spans="2:9" x14ac:dyDescent="0.2">
      <c r="B28" s="5" t="s">
        <v>33</v>
      </c>
      <c r="C28" s="17" t="s">
        <v>14</v>
      </c>
      <c r="D28" s="336" t="s">
        <v>14</v>
      </c>
      <c r="E28" s="24">
        <f>'BASE DATOS'!P37</f>
        <v>725.02</v>
      </c>
      <c r="F28" s="336" t="s">
        <v>67</v>
      </c>
      <c r="G28" s="63">
        <f>IF(SUM(C28,E28)=0,"",IF(C28="-",E28,C28*E28))</f>
        <v>725.02</v>
      </c>
      <c r="H28" s="46"/>
      <c r="I28" s="41">
        <f t="shared" si="1"/>
        <v>4.2448165126270358E-2</v>
      </c>
    </row>
    <row r="29" spans="2:9" ht="18" customHeight="1" x14ac:dyDescent="0.2">
      <c r="B29" s="13" t="s">
        <v>42</v>
      </c>
      <c r="C29" s="14"/>
      <c r="D29" s="337"/>
      <c r="E29" s="19"/>
      <c r="F29" s="337"/>
      <c r="G29" s="64">
        <f>IF(SUM(G30:G31)=0,"",SUM(G30:G31))</f>
        <v>214.87479600000003</v>
      </c>
      <c r="H29" s="40"/>
      <c r="I29" s="25">
        <f t="shared" si="1"/>
        <v>1.2580398916004607E-2</v>
      </c>
    </row>
    <row r="30" spans="2:9" x14ac:dyDescent="0.2">
      <c r="B30" s="16" t="s">
        <v>43</v>
      </c>
      <c r="C30" s="24">
        <f>'BASE DATOS'!O39*100</f>
        <v>74.31</v>
      </c>
      <c r="D30" s="336" t="s">
        <v>16</v>
      </c>
      <c r="E30" s="24">
        <f>'BASE DATOS'!P40</f>
        <v>289.16000000000003</v>
      </c>
      <c r="F30" s="336" t="s">
        <v>67</v>
      </c>
      <c r="G30" s="63">
        <f>IF(SUM(C30,E30)=0,"",IF(C30="-",E30,C30*E30/100))</f>
        <v>214.87479600000003</v>
      </c>
      <c r="H30" s="46"/>
      <c r="I30" s="41">
        <f t="shared" si="1"/>
        <v>1.2580398916004607E-2</v>
      </c>
    </row>
    <row r="31" spans="2:9" x14ac:dyDescent="0.2">
      <c r="B31" s="16" t="s">
        <v>44</v>
      </c>
      <c r="C31" s="24" t="s">
        <v>14</v>
      </c>
      <c r="D31" s="336" t="s">
        <v>14</v>
      </c>
      <c r="E31" s="24">
        <f>'BASE DATOS'!O41</f>
        <v>0</v>
      </c>
      <c r="F31" s="336" t="s">
        <v>67</v>
      </c>
      <c r="G31" s="63" t="str">
        <f>IF(SUM(C31,E31)=0,"",IF(C31="-",E31,C31*E31))</f>
        <v/>
      </c>
      <c r="H31" s="46"/>
      <c r="I31" s="41" t="str">
        <f>IF(G31="","",G31/$G$39)</f>
        <v/>
      </c>
    </row>
    <row r="32" spans="2:9" ht="17.25" customHeight="1" x14ac:dyDescent="0.2">
      <c r="B32" s="13" t="s">
        <v>34</v>
      </c>
      <c r="C32" s="19"/>
      <c r="D32" s="337"/>
      <c r="E32" s="19"/>
      <c r="F32" s="337"/>
      <c r="G32" s="64">
        <f>IF(SUM(G33:G34)=0,"",SUM(G33:G34))</f>
        <v>205.13420299999999</v>
      </c>
      <c r="H32" s="43"/>
      <c r="I32" s="25">
        <f t="shared" si="1"/>
        <v>1.2010110785895374E-2</v>
      </c>
    </row>
    <row r="33" spans="2:9" ht="14.25" x14ac:dyDescent="0.2">
      <c r="B33" s="16" t="s">
        <v>35</v>
      </c>
      <c r="C33" s="55">
        <f>'BASE DATOS'!P43</f>
        <v>0.18310000000000001</v>
      </c>
      <c r="D33" s="336" t="s">
        <v>41</v>
      </c>
      <c r="E33" s="24">
        <f>'BASE DATOS'!O44</f>
        <v>84.13</v>
      </c>
      <c r="F33" s="336" t="s">
        <v>71</v>
      </c>
      <c r="G33" s="63">
        <f>IF(SUM(C33,E33)=0,"",IF(C33="-",E33,C33*E33))</f>
        <v>15.404203000000001</v>
      </c>
      <c r="H33" s="40"/>
      <c r="I33" s="41">
        <f t="shared" si="1"/>
        <v>9.0187877932000398E-4</v>
      </c>
    </row>
    <row r="34" spans="2:9" x14ac:dyDescent="0.2">
      <c r="B34" s="16" t="s">
        <v>36</v>
      </c>
      <c r="C34" s="17" t="s">
        <v>14</v>
      </c>
      <c r="D34" s="336" t="s">
        <v>14</v>
      </c>
      <c r="E34" s="24">
        <f>'BASE DATOS'!P45</f>
        <v>189.73</v>
      </c>
      <c r="F34" s="336" t="s">
        <v>67</v>
      </c>
      <c r="G34" s="63">
        <f>IF(SUM(C34,E34)=0,"",IF(C34="-",E34,C34*E34))</f>
        <v>189.73</v>
      </c>
      <c r="H34" s="40"/>
      <c r="I34" s="41">
        <f t="shared" si="1"/>
        <v>1.1108232006575371E-2</v>
      </c>
    </row>
    <row r="35" spans="2:9" ht="17.25" customHeight="1" x14ac:dyDescent="0.2">
      <c r="B35" s="13" t="s">
        <v>37</v>
      </c>
      <c r="C35" s="19"/>
      <c r="D35" s="337"/>
      <c r="E35" s="19"/>
      <c r="F35" s="337"/>
      <c r="G35" s="64">
        <f>IF(SUM(G36:G37)=0,"",SUM(G36:G37))</f>
        <v>1245.6399999999999</v>
      </c>
      <c r="H35" s="40"/>
      <c r="I35" s="25">
        <f t="shared" si="1"/>
        <v>7.2929205274181966E-2</v>
      </c>
    </row>
    <row r="36" spans="2:9" x14ac:dyDescent="0.2">
      <c r="B36" s="16" t="s">
        <v>38</v>
      </c>
      <c r="C36" s="18" t="s">
        <v>14</v>
      </c>
      <c r="D36" s="336" t="s">
        <v>14</v>
      </c>
      <c r="E36" s="24">
        <f>'BASE DATOS'!O47</f>
        <v>92.1</v>
      </c>
      <c r="F36" s="336" t="s">
        <v>67</v>
      </c>
      <c r="G36" s="63">
        <f>IF(SUM(C36,E36)=0,"",IF(C36="-",E36,C36*E36))</f>
        <v>92.1</v>
      </c>
      <c r="H36" s="45"/>
      <c r="I36" s="41">
        <f t="shared" si="1"/>
        <v>5.3922319496420793E-3</v>
      </c>
    </row>
    <row r="37" spans="2:9" x14ac:dyDescent="0.2">
      <c r="B37" s="16" t="s">
        <v>39</v>
      </c>
      <c r="C37" s="17" t="s">
        <v>14</v>
      </c>
      <c r="D37" s="336" t="s">
        <v>14</v>
      </c>
      <c r="E37" s="24">
        <f>'BASE DATOS'!P48</f>
        <v>1153.54</v>
      </c>
      <c r="F37" s="336" t="s">
        <v>67</v>
      </c>
      <c r="G37" s="63">
        <f>IF(SUM(C37,E37)=0,"",IF(C37="-",E37,C37*E37))</f>
        <v>1153.54</v>
      </c>
      <c r="H37" s="45"/>
      <c r="I37" s="41">
        <f t="shared" si="1"/>
        <v>6.7536973324539895E-2</v>
      </c>
    </row>
    <row r="38" spans="2:9" ht="13.5" thickBot="1" x14ac:dyDescent="0.25">
      <c r="B38" s="8"/>
      <c r="C38" s="9"/>
      <c r="D38" s="339"/>
      <c r="E38" s="8"/>
      <c r="F38" s="339"/>
      <c r="G38" s="66"/>
      <c r="H38" s="5"/>
      <c r="I38" s="26"/>
    </row>
    <row r="39" spans="2:9" ht="16.5" customHeight="1" thickBot="1" x14ac:dyDescent="0.25">
      <c r="B39" s="27"/>
      <c r="C39" s="6"/>
      <c r="D39" s="28"/>
      <c r="E39" s="368" t="s">
        <v>4</v>
      </c>
      <c r="F39" s="340" t="s">
        <v>67</v>
      </c>
      <c r="G39" s="341">
        <f>IF(SUM(G9,G13,G22,G27:G29,G32,G35)=0,"",SUM(G9,G13,G22,G27:G29,G32,G35))</f>
        <v>17080.12579208751</v>
      </c>
      <c r="H39" s="5"/>
      <c r="I39" s="344">
        <f>IF(SUM(I9,I13,I22,I27:I29,I32,I35)=0,"",SUM(I9,I13,I22,I27:I29,I32,I35))</f>
        <v>1.0000000000000002</v>
      </c>
    </row>
    <row r="40" spans="2:9" ht="16.5" customHeight="1" thickBot="1" x14ac:dyDescent="0.25">
      <c r="B40" s="27"/>
      <c r="C40" s="6"/>
      <c r="D40" s="28"/>
      <c r="E40" s="369"/>
      <c r="F40" s="342" t="s">
        <v>73</v>
      </c>
      <c r="G40" s="343">
        <f>IF(G39="","",G39/46)</f>
        <v>371.30708243668499</v>
      </c>
      <c r="H40" s="5"/>
      <c r="I40" s="29"/>
    </row>
    <row r="41" spans="2:9" ht="18" customHeight="1" x14ac:dyDescent="0.2">
      <c r="B41" s="30" t="s">
        <v>40</v>
      </c>
      <c r="C41" s="5"/>
      <c r="D41" s="5"/>
      <c r="E41" s="5"/>
      <c r="F41" s="5"/>
      <c r="G41" s="5"/>
      <c r="H41" s="5"/>
      <c r="I41" s="5"/>
    </row>
    <row r="42" spans="2:9" ht="4.5" customHeight="1" x14ac:dyDescent="0.2"/>
    <row r="44" spans="2:9" x14ac:dyDescent="0.2">
      <c r="G44" s="2"/>
    </row>
  </sheetData>
  <sheetProtection password="CD89" sheet="1" objects="1" scenarios="1"/>
  <mergeCells count="1">
    <mergeCell ref="E39:E40"/>
  </mergeCells>
  <printOptions horizontalCentered="1" verticalCentered="1"/>
  <pageMargins left="0" right="0" top="0" bottom="0" header="0" footer="0"/>
  <pageSetup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4</vt:i4>
      </vt:variant>
    </vt:vector>
  </HeadingPairs>
  <TitlesOfParts>
    <vt:vector size="7" baseType="lpstr">
      <vt:lpstr>DATOS</vt:lpstr>
      <vt:lpstr>BASE DATOS</vt:lpstr>
      <vt:lpstr>COSTO</vt:lpstr>
      <vt:lpstr>'BASE DATOS'!Área_de_impresión</vt:lpstr>
      <vt:lpstr>COSTO!Área_de_impresión</vt:lpstr>
      <vt:lpstr>DATOS!Área_de_impresión</vt:lpstr>
      <vt:lpstr>'BASE DATOS'!Títulos_a_imprimir</vt:lpstr>
    </vt:vector>
  </TitlesOfParts>
  <Company>ICAFE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maraya</dc:creator>
  <cp:lastModifiedBy>Marco Araya Molina</cp:lastModifiedBy>
  <cp:lastPrinted>2020-03-25T17:13:22Z</cp:lastPrinted>
  <dcterms:created xsi:type="dcterms:W3CDTF">2010-05-12T23:10:35Z</dcterms:created>
  <dcterms:modified xsi:type="dcterms:W3CDTF">2020-03-25T20:47:45Z</dcterms:modified>
</cp:coreProperties>
</file>