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cafe-my.sharepoint.com/personal/maraya_icafe_cr/Documents/ICAFE/Modelo/Renovacion/Cosecha 2526/WEB/"/>
    </mc:Choice>
  </mc:AlternateContent>
  <xr:revisionPtr revIDLastSave="32" documentId="8_{FDB8599E-4071-4EC7-908E-52CFCA46F3BE}" xr6:coauthVersionLast="47" xr6:coauthVersionMax="47" xr10:uidLastSave="{9AF3531A-286D-4695-86BA-3E2A79BF6011}"/>
  <bookViews>
    <workbookView xWindow="-120" yWindow="-120" windowWidth="29040" windowHeight="15720" tabRatio="601" xr2:uid="{00000000-000D-0000-FFFF-FFFF00000000}"/>
  </bookViews>
  <sheets>
    <sheet name="PRES" sheetId="27" r:id="rId1"/>
    <sheet name="UNIT" sheetId="28" r:id="rId2"/>
    <sheet name="TECNICO" sheetId="23" r:id="rId3"/>
    <sheet name="BASE(1)" sheetId="25" r:id="rId4"/>
    <sheet name="BASE(2)" sheetId="24" r:id="rId5"/>
    <sheet name="FICHA" sheetId="2" r:id="rId6"/>
    <sheet name="Estructuras" sheetId="18" r:id="rId7"/>
    <sheet name="Invent" sheetId="19" r:id="rId8"/>
    <sheet name="R-1" sheetId="12" r:id="rId9"/>
    <sheet name="R-2" sheetId="17" r:id="rId10"/>
    <sheet name="R-3" sheetId="21" state="hidden" r:id="rId11"/>
    <sheet name="Crédito" sheetId="16" state="hidden" r:id="rId12"/>
    <sheet name="TC" sheetId="29" r:id="rId13"/>
    <sheet name="CRONO1" sheetId="20" r:id="rId14"/>
    <sheet name="CRONO2" sheetId="22" r:id="rId15"/>
  </sheets>
  <definedNames>
    <definedName name="_xlnm.Print_Area" localSheetId="3">'BASE(1)'!$A$1:$AB$28</definedName>
    <definedName name="_xlnm.Print_Area" localSheetId="4">'BASE(2)'!$A$1:$AD$29</definedName>
    <definedName name="_xlnm.Print_Area" localSheetId="11">Crédito!$A$1:$F$26</definedName>
    <definedName name="_xlnm.Print_Area" localSheetId="13">CRONO1!$M$5:$Y$16,CRONO1!#REF!</definedName>
    <definedName name="_xlnm.Print_Area" localSheetId="14">CRONO2!#REF!,CRONO2!$M$5:$Y$14</definedName>
    <definedName name="_xlnm.Print_Area" localSheetId="6">Estructuras!$A$1:$L$51,Estructuras!$M$52:$X$96</definedName>
    <definedName name="_xlnm.Print_Area" localSheetId="5">FICHA!$A$1:$K$33</definedName>
    <definedName name="_xlnm.Print_Area" localSheetId="7">Invent!$C$1:$J$45</definedName>
    <definedName name="_xlnm.Print_Area" localSheetId="0">PRES!$A$1:$K$29</definedName>
    <definedName name="_xlnm.Print_Area" localSheetId="8">'R-1'!$A$1:$J$22</definedName>
    <definedName name="_xlnm.Print_Area" localSheetId="9">'R-2'!$A$1:$I$38</definedName>
    <definedName name="_xlnm.Print_Area" localSheetId="2">TECNICO!$A$1:$AA$34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22" l="1"/>
  <c r="G35" i="22" s="1"/>
  <c r="H35" i="22" s="1"/>
  <c r="I35" i="22" s="1"/>
  <c r="E35" i="22"/>
  <c r="D35" i="22"/>
  <c r="I43" i="20"/>
  <c r="H43" i="20"/>
  <c r="G43" i="20"/>
  <c r="F43" i="20"/>
  <c r="B27" i="29"/>
  <c r="P24" i="29"/>
  <c r="Q24" i="29"/>
  <c r="X132" i="28" l="1"/>
  <c r="AD38" i="28" l="1"/>
  <c r="X8" i="28"/>
  <c r="X42" i="28"/>
  <c r="X38" i="28"/>
  <c r="AF29" i="28"/>
  <c r="X35" i="28"/>
  <c r="X26" i="28"/>
  <c r="X23" i="28"/>
  <c r="W23" i="28"/>
  <c r="V23" i="28"/>
  <c r="U23" i="28"/>
  <c r="T23" i="28"/>
  <c r="S23" i="28"/>
  <c r="R23" i="28"/>
  <c r="X19" i="28"/>
  <c r="W19" i="28"/>
  <c r="V19" i="28"/>
  <c r="U19" i="28"/>
  <c r="T19" i="28"/>
  <c r="S19" i="28"/>
  <c r="R19" i="28"/>
  <c r="X14" i="28"/>
  <c r="W14" i="28"/>
  <c r="V14" i="28"/>
  <c r="U14" i="28"/>
  <c r="T14" i="28"/>
  <c r="S14" i="28"/>
  <c r="R14" i="28"/>
  <c r="X11" i="28"/>
  <c r="W11" i="28"/>
  <c r="V11" i="28"/>
  <c r="U11" i="28"/>
  <c r="T11" i="28"/>
  <c r="S11" i="28"/>
  <c r="R11" i="28"/>
  <c r="X5" i="28"/>
  <c r="P6" i="29"/>
  <c r="Q6" i="29"/>
  <c r="P7" i="29"/>
  <c r="Q7" i="29"/>
  <c r="P8" i="29"/>
  <c r="Q8" i="29"/>
  <c r="P9" i="29"/>
  <c r="Q9" i="29"/>
  <c r="P10" i="29"/>
  <c r="Q10" i="29"/>
  <c r="P11" i="29"/>
  <c r="Q11" i="29"/>
  <c r="P12" i="29"/>
  <c r="Q12" i="29"/>
  <c r="P13" i="29"/>
  <c r="Q13" i="29"/>
  <c r="P14" i="29"/>
  <c r="Q14" i="29"/>
  <c r="P15" i="29"/>
  <c r="Q15" i="29"/>
  <c r="P16" i="29"/>
  <c r="Q16" i="29"/>
  <c r="P17" i="29"/>
  <c r="Q17" i="29"/>
  <c r="P18" i="29"/>
  <c r="Q18" i="29"/>
  <c r="P19" i="29"/>
  <c r="Q19" i="29"/>
  <c r="P20" i="29"/>
  <c r="Q20" i="29"/>
  <c r="P21" i="29"/>
  <c r="Q21" i="29"/>
  <c r="P22" i="29"/>
  <c r="Q22" i="29"/>
  <c r="P23" i="29"/>
  <c r="Q23" i="29"/>
  <c r="W42" i="28" l="1"/>
  <c r="W38" i="28" l="1"/>
  <c r="AF42" i="28"/>
  <c r="AF35" i="28"/>
  <c r="W35" i="28"/>
  <c r="U8" i="28" l="1"/>
  <c r="W8" i="28" l="1"/>
  <c r="V8" i="28"/>
  <c r="AC14" i="24"/>
  <c r="K24" i="2" s="1"/>
  <c r="AC13" i="24"/>
  <c r="K23" i="2" s="1"/>
  <c r="W13" i="24"/>
  <c r="AA12" i="25"/>
  <c r="J24" i="2" s="1"/>
  <c r="N8" i="2"/>
  <c r="V42" i="28" l="1"/>
  <c r="V38" i="28" l="1"/>
  <c r="V35" i="28"/>
  <c r="AF38" i="28" l="1"/>
  <c r="Q5" i="29" l="1"/>
  <c r="P5" i="29"/>
  <c r="Q4" i="29"/>
  <c r="P4" i="29"/>
  <c r="B6" i="29"/>
  <c r="B7" i="29" s="1"/>
  <c r="B8" i="29" s="1"/>
  <c r="B9" i="29" s="1"/>
  <c r="B10" i="29" s="1"/>
  <c r="B11" i="29" s="1"/>
  <c r="B12" i="29" s="1"/>
  <c r="B13" i="29" s="1"/>
  <c r="B14" i="29" s="1"/>
  <c r="B15" i="29" l="1"/>
  <c r="E33" i="2"/>
  <c r="B16" i="29" l="1"/>
  <c r="B17" i="29" s="1"/>
  <c r="B18" i="29" s="1"/>
  <c r="B19" i="29" s="1"/>
  <c r="B20" i="29" s="1"/>
  <c r="B21" i="29" s="1"/>
  <c r="B22" i="29" s="1"/>
  <c r="Q27" i="29"/>
  <c r="Y58" i="20" s="1"/>
  <c r="M27" i="29"/>
  <c r="V58" i="20" s="1"/>
  <c r="F27" i="29"/>
  <c r="O58" i="20" s="1"/>
  <c r="E27" i="29"/>
  <c r="N58" i="20" s="1"/>
  <c r="K27" i="29"/>
  <c r="T58" i="20" s="1"/>
  <c r="P27" i="29"/>
  <c r="X58" i="20" s="1"/>
  <c r="I27" i="29"/>
  <c r="R58" i="20" s="1"/>
  <c r="N27" i="29"/>
  <c r="W58" i="20" s="1"/>
  <c r="H27" i="29"/>
  <c r="Q58" i="20" s="1"/>
  <c r="D27" i="29"/>
  <c r="L27" i="29"/>
  <c r="U58" i="20" s="1"/>
  <c r="J27" i="29"/>
  <c r="S58" i="20" s="1"/>
  <c r="C27" i="29"/>
  <c r="G27" i="29"/>
  <c r="P58" i="20" s="1"/>
  <c r="AF5" i="28"/>
  <c r="N5" i="20"/>
  <c r="N5" i="22" s="1"/>
  <c r="E132" i="28"/>
  <c r="AD5" i="28"/>
  <c r="AB1" i="28" l="1"/>
  <c r="U42" i="28" l="1"/>
  <c r="T42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F38" i="28"/>
  <c r="G38" i="28"/>
  <c r="H38" i="28"/>
  <c r="I38" i="28"/>
  <c r="J38" i="28"/>
  <c r="K38" i="28"/>
  <c r="L38" i="28"/>
  <c r="M38" i="28"/>
  <c r="N38" i="28"/>
  <c r="O38" i="28"/>
  <c r="P38" i="28"/>
  <c r="Q38" i="28"/>
  <c r="R38" i="28"/>
  <c r="S38" i="28"/>
  <c r="T38" i="28"/>
  <c r="U38" i="28"/>
  <c r="E38" i="28"/>
  <c r="U35" i="28"/>
  <c r="T35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Q23" i="28" l="1"/>
  <c r="P23" i="28"/>
  <c r="O23" i="28"/>
  <c r="N23" i="28"/>
  <c r="M23" i="28"/>
  <c r="L23" i="28"/>
  <c r="K23" i="28"/>
  <c r="J23" i="28"/>
  <c r="I23" i="28"/>
  <c r="H23" i="28"/>
  <c r="G23" i="28"/>
  <c r="F23" i="28"/>
  <c r="E23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F11" i="28"/>
  <c r="G11" i="28"/>
  <c r="H11" i="28"/>
  <c r="I11" i="28"/>
  <c r="I8" i="28" s="1"/>
  <c r="J11" i="28"/>
  <c r="J8" i="28" s="1"/>
  <c r="K11" i="28"/>
  <c r="K8" i="28" s="1"/>
  <c r="L11" i="28"/>
  <c r="L8" i="28" s="1"/>
  <c r="M11" i="28"/>
  <c r="M8" i="28" s="1"/>
  <c r="N11" i="28"/>
  <c r="O11" i="28"/>
  <c r="P11" i="28"/>
  <c r="Q11" i="28"/>
  <c r="Q8" i="28" s="1"/>
  <c r="R8" i="28"/>
  <c r="S8" i="28"/>
  <c r="T8" i="28"/>
  <c r="E11" i="28"/>
  <c r="E8" i="28" s="1"/>
  <c r="P8" i="28" l="1"/>
  <c r="O8" i="28"/>
  <c r="H8" i="28"/>
  <c r="G8" i="28"/>
  <c r="N8" i="28"/>
  <c r="F8" i="28"/>
  <c r="I9" i="28"/>
  <c r="J9" i="28" s="1"/>
  <c r="K9" i="28" s="1"/>
  <c r="L9" i="28" s="1"/>
  <c r="M9" i="28" s="1"/>
  <c r="N9" i="28" s="1"/>
  <c r="O9" i="28" s="1"/>
  <c r="P9" i="28" s="1"/>
  <c r="Q9" i="28" s="1"/>
  <c r="R9" i="28" s="1"/>
  <c r="S9" i="28" s="1"/>
  <c r="T9" i="28" s="1"/>
  <c r="U9" i="28" s="1"/>
  <c r="V9" i="28" s="1"/>
  <c r="W9" i="28" s="1"/>
  <c r="X9" i="28" s="1"/>
  <c r="G9" i="28"/>
  <c r="F9" i="28" s="1"/>
  <c r="E9" i="28" s="1"/>
  <c r="F5" i="28"/>
  <c r="F132" i="28" s="1"/>
  <c r="AF9" i="28" l="1"/>
  <c r="G5" i="28"/>
  <c r="G132" i="28" s="1"/>
  <c r="C43" i="19"/>
  <c r="H5" i="28" l="1"/>
  <c r="H132" i="28" s="1"/>
  <c r="D12" i="19"/>
  <c r="D11" i="19"/>
  <c r="L1" i="19"/>
  <c r="F37" i="19" s="1"/>
  <c r="O15" i="2"/>
  <c r="C44" i="19"/>
  <c r="C42" i="19"/>
  <c r="A3" i="18"/>
  <c r="A3" i="21" s="1"/>
  <c r="I5" i="28" l="1"/>
  <c r="I132" i="28" s="1"/>
  <c r="F26" i="19"/>
  <c r="F34" i="19"/>
  <c r="F16" i="19"/>
  <c r="C41" i="19"/>
  <c r="F17" i="19"/>
  <c r="F27" i="19"/>
  <c r="F35" i="19"/>
  <c r="F8" i="19"/>
  <c r="F22" i="19"/>
  <c r="F30" i="19"/>
  <c r="F38" i="19"/>
  <c r="F11" i="19"/>
  <c r="F23" i="19"/>
  <c r="F31" i="19"/>
  <c r="F39" i="19"/>
  <c r="F12" i="19"/>
  <c r="F18" i="19"/>
  <c r="F24" i="19"/>
  <c r="F28" i="19"/>
  <c r="F32" i="19"/>
  <c r="F36" i="19"/>
  <c r="F7" i="19"/>
  <c r="F13" i="19"/>
  <c r="F19" i="19"/>
  <c r="F25" i="19"/>
  <c r="F29" i="19"/>
  <c r="F33" i="19"/>
  <c r="J5" i="28" l="1"/>
  <c r="J132" i="28" s="1"/>
  <c r="K5" i="28" l="1"/>
  <c r="K132" i="28" s="1"/>
  <c r="C15" i="2"/>
  <c r="D12" i="24"/>
  <c r="L5" i="28" l="1"/>
  <c r="L132" i="28" s="1"/>
  <c r="G29" i="2"/>
  <c r="M5" i="28" l="1"/>
  <c r="M132" i="28" s="1"/>
  <c r="N5" i="28" l="1"/>
  <c r="N132" i="28" s="1"/>
  <c r="P39" i="22"/>
  <c r="Q39" i="22" s="1"/>
  <c r="Q37" i="22"/>
  <c r="R37" i="22" s="1"/>
  <c r="S37" i="22" s="1"/>
  <c r="R44" i="20"/>
  <c r="T44" i="20" s="1"/>
  <c r="U44" i="20" s="1"/>
  <c r="V44" i="20" s="1"/>
  <c r="P40" i="20"/>
  <c r="W14" i="23"/>
  <c r="O5" i="28" l="1"/>
  <c r="O132" i="28" s="1"/>
  <c r="P5" i="28" l="1"/>
  <c r="P132" i="28" s="1"/>
  <c r="Q5" i="28" l="1"/>
  <c r="Q132" i="28" s="1"/>
  <c r="R5" i="28" l="1"/>
  <c r="R132" i="28" s="1"/>
  <c r="S5" i="28" l="1"/>
  <c r="S132" i="28" s="1"/>
  <c r="C10" i="25"/>
  <c r="C16" i="2"/>
  <c r="AB15" i="24"/>
  <c r="Z13" i="25"/>
  <c r="T5" i="28" l="1"/>
  <c r="T132" i="28" s="1"/>
  <c r="I21" i="25"/>
  <c r="K21" i="25" s="1"/>
  <c r="K20" i="25"/>
  <c r="K19" i="25"/>
  <c r="K18" i="25"/>
  <c r="K17" i="25"/>
  <c r="K16" i="25"/>
  <c r="J19" i="2" s="1"/>
  <c r="C24" i="18" s="1"/>
  <c r="K15" i="25"/>
  <c r="K14" i="25"/>
  <c r="J20" i="2" s="1"/>
  <c r="C25" i="18" s="1"/>
  <c r="Z11" i="25"/>
  <c r="K13" i="25"/>
  <c r="R12" i="25"/>
  <c r="Q12" i="25"/>
  <c r="B16" i="2" s="1"/>
  <c r="P12" i="25"/>
  <c r="O12" i="25"/>
  <c r="K12" i="25"/>
  <c r="Y8" i="25"/>
  <c r="AA8" i="25" s="1"/>
  <c r="AA5" i="25" s="1"/>
  <c r="B17" i="2" s="1"/>
  <c r="K5" i="25"/>
  <c r="K9" i="25" s="1"/>
  <c r="J9" i="25" s="1"/>
  <c r="K21" i="24"/>
  <c r="M21" i="24" s="1"/>
  <c r="M20" i="24"/>
  <c r="M19" i="24"/>
  <c r="M18" i="24"/>
  <c r="M17" i="24"/>
  <c r="K18" i="2" s="1"/>
  <c r="O70" i="18" s="1"/>
  <c r="M16" i="24"/>
  <c r="K19" i="2" s="1"/>
  <c r="O71" i="18" s="1"/>
  <c r="M15" i="24"/>
  <c r="M13" i="24"/>
  <c r="K16" i="2" s="1"/>
  <c r="O68" i="18" s="1"/>
  <c r="M12" i="24"/>
  <c r="K17" i="2" s="1"/>
  <c r="O69" i="18" s="1"/>
  <c r="AA11" i="25" l="1"/>
  <c r="J23" i="2" s="1"/>
  <c r="C26" i="18" s="1"/>
  <c r="J18" i="2"/>
  <c r="C23" i="18" s="1"/>
  <c r="U5" i="28"/>
  <c r="J16" i="2"/>
  <c r="C21" i="18" s="1"/>
  <c r="J17" i="2"/>
  <c r="C22" i="18" s="1"/>
  <c r="AA13" i="25"/>
  <c r="J25" i="2" s="1"/>
  <c r="C28" i="18" s="1"/>
  <c r="B14" i="2"/>
  <c r="U132" i="28" l="1"/>
  <c r="V5" i="28"/>
  <c r="M5" i="24"/>
  <c r="C14" i="2" s="1"/>
  <c r="V132" i="28" l="1"/>
  <c r="AD7" i="28" s="1"/>
  <c r="F7" i="2" s="1"/>
  <c r="W5" i="28"/>
  <c r="W132" i="28" s="1"/>
  <c r="AD67" i="28" s="1"/>
  <c r="O26" i="2" s="1"/>
  <c r="AD98" i="28"/>
  <c r="H36" i="19" s="1"/>
  <c r="AD12" i="28"/>
  <c r="AD61" i="28"/>
  <c r="O25" i="2" s="1"/>
  <c r="AD85" i="28"/>
  <c r="H23" i="19" s="1"/>
  <c r="AD41" i="28"/>
  <c r="AD50" i="28"/>
  <c r="E28" i="18" s="1"/>
  <c r="AD36" i="28"/>
  <c r="AD45" i="28"/>
  <c r="E23" i="18" s="1"/>
  <c r="AD48" i="28"/>
  <c r="E26" i="18" s="1"/>
  <c r="AD39" i="28"/>
  <c r="AD117" i="28"/>
  <c r="Q27" i="2" s="1"/>
  <c r="AD122" i="28"/>
  <c r="P28" i="2" s="1"/>
  <c r="AD127" i="28"/>
  <c r="O29" i="2" s="1"/>
  <c r="AD101" i="28"/>
  <c r="H39" i="19" s="1"/>
  <c r="AD99" i="28"/>
  <c r="H37" i="19" s="1"/>
  <c r="AD109" i="28"/>
  <c r="A15" i="19" s="1"/>
  <c r="AD116" i="28"/>
  <c r="P27" i="2" s="1"/>
  <c r="AD104" i="28"/>
  <c r="A6" i="19" s="1"/>
  <c r="AD18" i="28"/>
  <c r="AD82" i="28"/>
  <c r="H18" i="19" s="1"/>
  <c r="AD88" i="28"/>
  <c r="H26" i="19" s="1"/>
  <c r="AD100" i="28"/>
  <c r="H38" i="19" s="1"/>
  <c r="AD9" i="28"/>
  <c r="AD108" i="28"/>
  <c r="A13" i="19" s="1"/>
  <c r="AD8" i="28"/>
  <c r="F8" i="2" s="1"/>
  <c r="AD46" i="28"/>
  <c r="E24" i="18" s="1"/>
  <c r="AD63" i="28"/>
  <c r="Q25" i="2" s="1"/>
  <c r="AD33" i="28"/>
  <c r="AD83" i="28"/>
  <c r="H19" i="19" s="1"/>
  <c r="AD90" i="28"/>
  <c r="H28" i="19" s="1"/>
  <c r="AD93" i="28"/>
  <c r="H31" i="19" s="1"/>
  <c r="AD96" i="28"/>
  <c r="H34" i="19" s="1"/>
  <c r="AD20" i="28"/>
  <c r="AD79" i="28"/>
  <c r="H13" i="19" s="1"/>
  <c r="AD64" i="28"/>
  <c r="R25" i="2" s="1"/>
  <c r="AD92" i="28"/>
  <c r="H30" i="19" s="1"/>
  <c r="AD110" i="28"/>
  <c r="A21" i="19" s="1"/>
  <c r="AD43" i="28"/>
  <c r="AD128" i="28"/>
  <c r="P29" i="2" s="1"/>
  <c r="B10" i="2"/>
  <c r="AD16" i="28" l="1"/>
  <c r="AD44" i="28"/>
  <c r="AD21" i="28"/>
  <c r="AD13" i="28"/>
  <c r="AD11" i="28" s="1"/>
  <c r="AD68" i="28"/>
  <c r="P26" i="2" s="1"/>
  <c r="AD75" i="28"/>
  <c r="H7" i="19" s="1"/>
  <c r="AD15" i="28"/>
  <c r="AD58" i="28"/>
  <c r="R24" i="2" s="1"/>
  <c r="AD47" i="28"/>
  <c r="E25" i="18" s="1"/>
  <c r="AD25" i="28"/>
  <c r="AD97" i="28"/>
  <c r="H35" i="19" s="1"/>
  <c r="AD95" i="28"/>
  <c r="H33" i="19" s="1"/>
  <c r="AD76" i="28"/>
  <c r="H8" i="19" s="1"/>
  <c r="AD123" i="28"/>
  <c r="Q28" i="2" s="1"/>
  <c r="AD24" i="28"/>
  <c r="AD55" i="28"/>
  <c r="O24" i="2" s="1"/>
  <c r="F24" i="2" s="1"/>
  <c r="AD84" i="28"/>
  <c r="H22" i="19" s="1"/>
  <c r="AD94" i="28"/>
  <c r="H32" i="19" s="1"/>
  <c r="AD31" i="28"/>
  <c r="E16" i="18" s="1"/>
  <c r="AD86" i="28"/>
  <c r="H24" i="19" s="1"/>
  <c r="AD89" i="28"/>
  <c r="H27" i="19" s="1"/>
  <c r="AD29" i="28"/>
  <c r="F12" i="2" s="1"/>
  <c r="E14" i="18" s="1"/>
  <c r="AD22" i="28"/>
  <c r="AD81" i="28"/>
  <c r="H17" i="19" s="1"/>
  <c r="AD87" i="28"/>
  <c r="H25" i="19" s="1"/>
  <c r="AD121" i="28"/>
  <c r="O28" i="2" s="1"/>
  <c r="AD32" i="28"/>
  <c r="AD129" i="28"/>
  <c r="Q29" i="2" s="1"/>
  <c r="AD62" i="28"/>
  <c r="P25" i="2" s="1"/>
  <c r="AD70" i="28"/>
  <c r="R26" i="2" s="1"/>
  <c r="AD37" i="28"/>
  <c r="AD34" i="28"/>
  <c r="N33" i="23" s="1"/>
  <c r="AD124" i="28"/>
  <c r="R28" i="2" s="1"/>
  <c r="AD57" i="28"/>
  <c r="Q24" i="2" s="1"/>
  <c r="AD40" i="28"/>
  <c r="AD107" i="28"/>
  <c r="A12" i="19" s="1"/>
  <c r="AD78" i="28"/>
  <c r="H12" i="19" s="1"/>
  <c r="AD118" i="28"/>
  <c r="R27" i="2" s="1"/>
  <c r="AD17" i="28"/>
  <c r="AD130" i="28"/>
  <c r="R29" i="2" s="1"/>
  <c r="AD80" i="28"/>
  <c r="H16" i="19" s="1"/>
  <c r="AD69" i="28"/>
  <c r="Q26" i="2" s="1"/>
  <c r="AD91" i="28"/>
  <c r="H29" i="19" s="1"/>
  <c r="AD106" i="28"/>
  <c r="A11" i="19" s="1"/>
  <c r="AD56" i="28"/>
  <c r="P24" i="2" s="1"/>
  <c r="AD115" i="28"/>
  <c r="O27" i="2" s="1"/>
  <c r="J28" i="2" s="1"/>
  <c r="AD30" i="28"/>
  <c r="E15" i="18" s="1"/>
  <c r="AD77" i="28"/>
  <c r="H11" i="19" s="1"/>
  <c r="AD49" i="28"/>
  <c r="E27" i="18" s="1"/>
  <c r="AD72" i="28"/>
  <c r="AD35" i="28"/>
  <c r="E20" i="18" s="1"/>
  <c r="AD42" i="28"/>
  <c r="E22" i="18" s="1"/>
  <c r="N25" i="23"/>
  <c r="E18" i="18" s="1"/>
  <c r="E21" i="18"/>
  <c r="K8" i="2"/>
  <c r="G26" i="2"/>
  <c r="F25" i="2"/>
  <c r="K5" i="2"/>
  <c r="K7" i="2"/>
  <c r="D10" i="17"/>
  <c r="D11" i="17"/>
  <c r="M14" i="24"/>
  <c r="K20" i="2" s="1"/>
  <c r="O72" i="18" s="1"/>
  <c r="AB13" i="24"/>
  <c r="O73" i="18" s="1"/>
  <c r="T12" i="24"/>
  <c r="S12" i="24"/>
  <c r="R12" i="24"/>
  <c r="Q12" i="24"/>
  <c r="F12" i="24"/>
  <c r="E12" i="24"/>
  <c r="C12" i="24"/>
  <c r="AA10" i="24"/>
  <c r="AC15" i="24" s="1"/>
  <c r="K25" i="2" s="1"/>
  <c r="O75" i="18" s="1"/>
  <c r="F10" i="24"/>
  <c r="Q5" i="24"/>
  <c r="M9" i="24"/>
  <c r="L9" i="24" s="1"/>
  <c r="AD23" i="28" l="1"/>
  <c r="AD19" i="28"/>
  <c r="N15" i="23"/>
  <c r="E17" i="18" s="1"/>
  <c r="AD14" i="28"/>
  <c r="F9" i="2"/>
  <c r="Q74" i="18"/>
  <c r="T74" i="18" s="1"/>
  <c r="H27" i="18"/>
  <c r="W16" i="23"/>
  <c r="E19" i="18"/>
  <c r="W24" i="23"/>
  <c r="J29" i="2"/>
  <c r="H47" i="18" s="1"/>
  <c r="AC5" i="24"/>
  <c r="AC10" i="24" l="1"/>
  <c r="AB10" i="24" s="1"/>
  <c r="C17" i="2"/>
  <c r="Y16" i="23"/>
  <c r="X16" i="23"/>
  <c r="O13" i="23"/>
  <c r="N13" i="23"/>
  <c r="N21" i="23"/>
  <c r="P21" i="23" s="1"/>
  <c r="P25" i="23"/>
  <c r="O25" i="23"/>
  <c r="P23" i="23"/>
  <c r="Y14" i="23" s="1"/>
  <c r="O21" i="23" l="1"/>
  <c r="O23" i="23" l="1"/>
  <c r="X14" i="23" s="1"/>
  <c r="C8" i="23"/>
  <c r="H4" i="23"/>
  <c r="F11" i="2" l="1"/>
  <c r="C19" i="2" s="1"/>
  <c r="D7" i="25"/>
  <c r="D8" i="25"/>
  <c r="D9" i="25"/>
  <c r="D10" i="25"/>
  <c r="AA58" i="22"/>
  <c r="R57" i="22" l="1"/>
  <c r="V57" i="22"/>
  <c r="N57" i="22"/>
  <c r="P57" i="22"/>
  <c r="X57" i="22"/>
  <c r="U57" i="22"/>
  <c r="Y57" i="22"/>
  <c r="O57" i="22"/>
  <c r="S57" i="22"/>
  <c r="W57" i="22"/>
  <c r="T57" i="22"/>
  <c r="Q57" i="22"/>
  <c r="N10" i="23"/>
  <c r="N8" i="23" s="1"/>
  <c r="Q11" i="23" s="1"/>
  <c r="B9" i="2" s="1"/>
  <c r="D9" i="17" s="1"/>
  <c r="Y13" i="23"/>
  <c r="Y11" i="23" s="1"/>
  <c r="Y12" i="23" s="1"/>
  <c r="O20" i="23"/>
  <c r="O18" i="23" s="1"/>
  <c r="O24" i="23" s="1"/>
  <c r="W13" i="23"/>
  <c r="W11" i="23" s="1"/>
  <c r="W15" i="23" s="1"/>
  <c r="P20" i="23"/>
  <c r="P18" i="23" s="1"/>
  <c r="P22" i="23" s="1"/>
  <c r="X13" i="23"/>
  <c r="X11" i="23" s="1"/>
  <c r="N20" i="23"/>
  <c r="N18" i="23" s="1"/>
  <c r="F15" i="2"/>
  <c r="M3" i="22"/>
  <c r="M3" i="20"/>
  <c r="Y15" i="23" l="1"/>
  <c r="P24" i="23"/>
  <c r="N14" i="23"/>
  <c r="N9" i="23"/>
  <c r="N12" i="23"/>
  <c r="F18" i="2"/>
  <c r="P19" i="23"/>
  <c r="G19" i="2"/>
  <c r="W12" i="23"/>
  <c r="N24" i="23"/>
  <c r="N22" i="23"/>
  <c r="X12" i="23"/>
  <c r="X15" i="23"/>
  <c r="N19" i="23"/>
  <c r="Y53" i="22"/>
  <c r="X53" i="22"/>
  <c r="W53" i="22"/>
  <c r="V53" i="22"/>
  <c r="U53" i="22"/>
  <c r="T53" i="22"/>
  <c r="S53" i="22"/>
  <c r="R53" i="22"/>
  <c r="Q53" i="22"/>
  <c r="P53" i="22"/>
  <c r="O53" i="22"/>
  <c r="N53" i="22"/>
  <c r="W21" i="23" l="1"/>
  <c r="W19" i="23" s="1"/>
  <c r="N30" i="23"/>
  <c r="N28" i="23" s="1"/>
  <c r="N29" i="23" s="1"/>
  <c r="W45" i="22"/>
  <c r="U45" i="22"/>
  <c r="R45" i="22"/>
  <c r="O45" i="22"/>
  <c r="N45" i="22"/>
  <c r="AA39" i="22"/>
  <c r="AA37" i="22"/>
  <c r="AA36" i="22"/>
  <c r="F20" i="2" l="1"/>
  <c r="N32" i="23"/>
  <c r="N37" i="23" s="1"/>
  <c r="Q12" i="23"/>
  <c r="B12" i="2" s="1"/>
  <c r="W23" i="23"/>
  <c r="W36" i="23" s="1"/>
  <c r="G20" i="2"/>
  <c r="W50" i="20"/>
  <c r="U50" i="20"/>
  <c r="N50" i="20"/>
  <c r="W39" i="20"/>
  <c r="V39" i="20"/>
  <c r="U39" i="20"/>
  <c r="T39" i="20"/>
  <c r="S39" i="20"/>
  <c r="R39" i="20"/>
  <c r="Q39" i="20"/>
  <c r="N39" i="20"/>
  <c r="C39" i="20"/>
  <c r="W45" i="20"/>
  <c r="V45" i="20"/>
  <c r="U45" i="20"/>
  <c r="S45" i="20"/>
  <c r="Q45" i="20"/>
  <c r="N45" i="20"/>
  <c r="W44" i="20"/>
  <c r="S44" i="20"/>
  <c r="Q44" i="20"/>
  <c r="P44" i="20"/>
  <c r="O44" i="20"/>
  <c r="N44" i="20"/>
  <c r="O42" i="20"/>
  <c r="N42" i="20"/>
  <c r="W41" i="20"/>
  <c r="V41" i="20"/>
  <c r="U41" i="20"/>
  <c r="T41" i="20"/>
  <c r="S41" i="20"/>
  <c r="R41" i="20"/>
  <c r="O41" i="20"/>
  <c r="N41" i="20"/>
  <c r="W40" i="20"/>
  <c r="V40" i="20"/>
  <c r="U40" i="20"/>
  <c r="T40" i="20"/>
  <c r="S40" i="20"/>
  <c r="R40" i="20"/>
  <c r="Q40" i="20"/>
  <c r="O40" i="20"/>
  <c r="N40" i="20"/>
  <c r="AA40" i="20" l="1"/>
  <c r="AA44" i="20"/>
  <c r="D39" i="20"/>
  <c r="W38" i="20"/>
  <c r="V38" i="20"/>
  <c r="U38" i="20"/>
  <c r="T38" i="20"/>
  <c r="S38" i="20"/>
  <c r="R38" i="20"/>
  <c r="Q38" i="20"/>
  <c r="N38" i="20"/>
  <c r="W37" i="20"/>
  <c r="V37" i="20"/>
  <c r="U37" i="20"/>
  <c r="T37" i="20"/>
  <c r="S37" i="20"/>
  <c r="R37" i="20"/>
  <c r="Q37" i="20"/>
  <c r="P37" i="20"/>
  <c r="N37" i="20"/>
  <c r="C38" i="20"/>
  <c r="W30" i="20"/>
  <c r="V30" i="20"/>
  <c r="U30" i="20"/>
  <c r="Q30" i="20"/>
  <c r="N30" i="20"/>
  <c r="W29" i="20"/>
  <c r="Q29" i="20"/>
  <c r="P29" i="20"/>
  <c r="O29" i="20"/>
  <c r="N29" i="20"/>
  <c r="W28" i="20"/>
  <c r="V28" i="20"/>
  <c r="P28" i="20"/>
  <c r="O28" i="20"/>
  <c r="N28" i="20"/>
  <c r="W27" i="20"/>
  <c r="U27" i="20"/>
  <c r="Q27" i="20"/>
  <c r="P27" i="20"/>
  <c r="O27" i="20"/>
  <c r="N27" i="20"/>
  <c r="W26" i="20"/>
  <c r="V26" i="20"/>
  <c r="U26" i="20"/>
  <c r="T26" i="20"/>
  <c r="S26" i="20"/>
  <c r="R26" i="20"/>
  <c r="O26" i="20"/>
  <c r="N26" i="20"/>
  <c r="W25" i="20"/>
  <c r="V25" i="20"/>
  <c r="U25" i="20"/>
  <c r="T25" i="20"/>
  <c r="S25" i="20"/>
  <c r="R25" i="20"/>
  <c r="Q25" i="20"/>
  <c r="O25" i="20"/>
  <c r="N25" i="20"/>
  <c r="W24" i="20"/>
  <c r="V24" i="20"/>
  <c r="U24" i="20"/>
  <c r="T24" i="20"/>
  <c r="S24" i="20"/>
  <c r="R24" i="20"/>
  <c r="Q24" i="20"/>
  <c r="P24" i="20"/>
  <c r="N24" i="20"/>
  <c r="W23" i="20"/>
  <c r="V23" i="20"/>
  <c r="U23" i="20"/>
  <c r="T23" i="20"/>
  <c r="S23" i="20"/>
  <c r="R23" i="20"/>
  <c r="Q23" i="20"/>
  <c r="N23" i="20"/>
  <c r="W22" i="20"/>
  <c r="V22" i="20"/>
  <c r="U22" i="20"/>
  <c r="T22" i="20"/>
  <c r="S22" i="20"/>
  <c r="R22" i="20"/>
  <c r="Q22" i="20"/>
  <c r="P22" i="20"/>
  <c r="Y44" i="22"/>
  <c r="X44" i="22"/>
  <c r="W44" i="22"/>
  <c r="V44" i="22"/>
  <c r="U44" i="22"/>
  <c r="T44" i="22"/>
  <c r="S44" i="22"/>
  <c r="R44" i="22"/>
  <c r="Q44" i="22"/>
  <c r="P44" i="22"/>
  <c r="O44" i="22"/>
  <c r="N44" i="22"/>
  <c r="W41" i="22"/>
  <c r="D40" i="22"/>
  <c r="P40" i="22" s="1"/>
  <c r="Y33" i="22"/>
  <c r="X33" i="22"/>
  <c r="W33" i="22"/>
  <c r="K33" i="22" s="1"/>
  <c r="V33" i="22"/>
  <c r="J33" i="22" s="1"/>
  <c r="U33" i="22"/>
  <c r="I33" i="22" s="1"/>
  <c r="T33" i="22"/>
  <c r="H33" i="22" s="1"/>
  <c r="S33" i="22"/>
  <c r="R33" i="22"/>
  <c r="F33" i="22" s="1"/>
  <c r="Q33" i="22"/>
  <c r="E33" i="22" s="1"/>
  <c r="P33" i="22"/>
  <c r="D33" i="22" s="1"/>
  <c r="O33" i="22"/>
  <c r="C33" i="22" s="1"/>
  <c r="N33" i="22"/>
  <c r="B33" i="22" s="1"/>
  <c r="G33" i="22"/>
  <c r="W28" i="22"/>
  <c r="M27" i="22"/>
  <c r="M40" i="22" s="1"/>
  <c r="M26" i="22"/>
  <c r="M39" i="22" s="1"/>
  <c r="M25" i="22"/>
  <c r="M38" i="22" s="1"/>
  <c r="M24" i="22"/>
  <c r="M37" i="22" s="1"/>
  <c r="M23" i="22"/>
  <c r="M36" i="22" s="1"/>
  <c r="M22" i="22"/>
  <c r="M35" i="22" s="1"/>
  <c r="M21" i="22"/>
  <c r="M34" i="22" s="1"/>
  <c r="Y20" i="22"/>
  <c r="X20" i="22"/>
  <c r="W20" i="22"/>
  <c r="K20" i="22" s="1"/>
  <c r="V20" i="22"/>
  <c r="J20" i="22" s="1"/>
  <c r="U20" i="22"/>
  <c r="T20" i="22"/>
  <c r="H20" i="22" s="1"/>
  <c r="S20" i="22"/>
  <c r="G20" i="22" s="1"/>
  <c r="R20" i="22"/>
  <c r="F20" i="22" s="1"/>
  <c r="Q20" i="22"/>
  <c r="E20" i="22" s="1"/>
  <c r="P20" i="22"/>
  <c r="D20" i="22" s="1"/>
  <c r="O20" i="22"/>
  <c r="C20" i="22" s="1"/>
  <c r="N20" i="22"/>
  <c r="B20" i="22" s="1"/>
  <c r="I20" i="22"/>
  <c r="E40" i="22" l="1"/>
  <c r="Q40" i="22" s="1"/>
  <c r="AA40" i="22" s="1"/>
  <c r="D38" i="20"/>
  <c r="D34" i="22" l="1"/>
  <c r="J34" i="22" l="1"/>
  <c r="H34" i="22"/>
  <c r="E34" i="22"/>
  <c r="G34" i="22"/>
  <c r="B8" i="2"/>
  <c r="D27" i="22" l="1"/>
  <c r="B13" i="2"/>
  <c r="C24" i="20" s="1"/>
  <c r="O24" i="20" s="1"/>
  <c r="AA24" i="20" s="1"/>
  <c r="P27" i="22" l="1"/>
  <c r="E27" i="22"/>
  <c r="Q27" i="22" s="1"/>
  <c r="E34" i="18"/>
  <c r="Q81" i="18"/>
  <c r="AA27" i="22" l="1"/>
  <c r="O38" i="20" l="1"/>
  <c r="P38" i="20"/>
  <c r="R38" i="17"/>
  <c r="B38" i="17"/>
  <c r="AA38" i="20" l="1"/>
  <c r="P51" i="17"/>
  <c r="M67" i="17"/>
  <c r="H62" i="17"/>
  <c r="H61" i="17"/>
  <c r="H15" i="18" l="1"/>
  <c r="C14" i="21" l="1"/>
  <c r="F14" i="21" s="1"/>
  <c r="E48" i="17"/>
  <c r="E32" i="17"/>
  <c r="Q87" i="18" l="1"/>
  <c r="Q86" i="18"/>
  <c r="O86" i="18"/>
  <c r="O87" i="18" s="1"/>
  <c r="O39" i="20" l="1"/>
  <c r="P39" i="20"/>
  <c r="T87" i="18"/>
  <c r="T86" i="18"/>
  <c r="O46" i="22" l="1"/>
  <c r="P46" i="22"/>
  <c r="AA39" i="20"/>
  <c r="N62" i="17"/>
  <c r="F27" i="17" s="1"/>
  <c r="V46" i="22"/>
  <c r="R46" i="22"/>
  <c r="N46" i="22"/>
  <c r="Y46" i="22"/>
  <c r="U46" i="22"/>
  <c r="Q46" i="22"/>
  <c r="X46" i="22"/>
  <c r="T46" i="22"/>
  <c r="W46" i="22"/>
  <c r="S46" i="22"/>
  <c r="T85" i="18"/>
  <c r="F15" i="12" s="1"/>
  <c r="L61" i="17"/>
  <c r="D26" i="17" s="1"/>
  <c r="C20" i="18"/>
  <c r="Q68" i="18"/>
  <c r="P62" i="17" l="1"/>
  <c r="U27" i="17" s="1"/>
  <c r="W27" i="17" s="1"/>
  <c r="I15" i="12"/>
  <c r="AA46" i="22"/>
  <c r="H20" i="18"/>
  <c r="H27" i="17"/>
  <c r="D32" i="17"/>
  <c r="H26" i="17"/>
  <c r="P61" i="17"/>
  <c r="U26" i="17" s="1"/>
  <c r="L67" i="17"/>
  <c r="D38" i="22"/>
  <c r="C18" i="2"/>
  <c r="D26" i="22" s="1"/>
  <c r="C24" i="22"/>
  <c r="C19" i="21" l="1"/>
  <c r="F19" i="21" s="1"/>
  <c r="E51" i="17"/>
  <c r="E13" i="17" s="1"/>
  <c r="G24" i="22"/>
  <c r="E26" i="22"/>
  <c r="Q26" i="22" s="1"/>
  <c r="P26" i="22"/>
  <c r="H38" i="22"/>
  <c r="G38" i="22"/>
  <c r="W26" i="17"/>
  <c r="D51" i="17"/>
  <c r="AA26" i="22" l="1"/>
  <c r="H21" i="18"/>
  <c r="C20" i="21" s="1"/>
  <c r="H51" i="17"/>
  <c r="D13" i="17"/>
  <c r="H13" i="17" l="1"/>
  <c r="T13" i="17"/>
  <c r="W13" i="17" s="1"/>
  <c r="D25" i="22"/>
  <c r="D23" i="22"/>
  <c r="D22" i="22"/>
  <c r="G25" i="22" l="1"/>
  <c r="H25" i="22"/>
  <c r="E22" i="22"/>
  <c r="I23" i="22"/>
  <c r="U23" i="22" s="1"/>
  <c r="E23" i="22"/>
  <c r="Q23" i="22" s="1"/>
  <c r="H23" i="22"/>
  <c r="T23" i="22" s="1"/>
  <c r="P23" i="22"/>
  <c r="B7" i="2"/>
  <c r="AA23" i="22" l="1"/>
  <c r="G22" i="22"/>
  <c r="Q75" i="18"/>
  <c r="Q73" i="18"/>
  <c r="Q72" i="18"/>
  <c r="Q71" i="18"/>
  <c r="Q70" i="18"/>
  <c r="T70" i="18" s="1"/>
  <c r="D22" i="21" s="1"/>
  <c r="Q69" i="18"/>
  <c r="I22" i="22" l="1"/>
  <c r="A3" i="16"/>
  <c r="Y46" i="20" l="1"/>
  <c r="X46" i="20"/>
  <c r="W46" i="20"/>
  <c r="Y31" i="20"/>
  <c r="X31" i="20"/>
  <c r="Y49" i="20"/>
  <c r="X49" i="20"/>
  <c r="W49" i="20"/>
  <c r="V49" i="20"/>
  <c r="U49" i="20"/>
  <c r="T49" i="20"/>
  <c r="S49" i="20"/>
  <c r="R49" i="20"/>
  <c r="Q49" i="20"/>
  <c r="P49" i="20"/>
  <c r="O49" i="20"/>
  <c r="N49" i="20"/>
  <c r="Y36" i="20"/>
  <c r="X36" i="20"/>
  <c r="W36" i="20"/>
  <c r="K36" i="20" s="1"/>
  <c r="V36" i="20"/>
  <c r="J36" i="20" s="1"/>
  <c r="U36" i="20"/>
  <c r="I36" i="20" s="1"/>
  <c r="T36" i="20"/>
  <c r="H36" i="20" s="1"/>
  <c r="S36" i="20"/>
  <c r="G36" i="20" s="1"/>
  <c r="R36" i="20"/>
  <c r="F36" i="20" s="1"/>
  <c r="Q36" i="20"/>
  <c r="E36" i="20" s="1"/>
  <c r="P36" i="20"/>
  <c r="D36" i="20" s="1"/>
  <c r="O36" i="20"/>
  <c r="C36" i="20" s="1"/>
  <c r="N36" i="20"/>
  <c r="B36" i="20" s="1"/>
  <c r="Y21" i="20"/>
  <c r="X21" i="20"/>
  <c r="W21" i="20"/>
  <c r="K21" i="20" s="1"/>
  <c r="V21" i="20"/>
  <c r="J21" i="20" s="1"/>
  <c r="U21" i="20"/>
  <c r="T21" i="20"/>
  <c r="H21" i="20" s="1"/>
  <c r="S21" i="20"/>
  <c r="G21" i="20" s="1"/>
  <c r="R21" i="20"/>
  <c r="F21" i="20" s="1"/>
  <c r="Q21" i="20"/>
  <c r="P21" i="20"/>
  <c r="D21" i="20" s="1"/>
  <c r="O21" i="20"/>
  <c r="C21" i="20" s="1"/>
  <c r="N21" i="20"/>
  <c r="B21" i="20" s="1"/>
  <c r="U53" i="20"/>
  <c r="S53" i="20"/>
  <c r="P53" i="20"/>
  <c r="U52" i="20"/>
  <c r="N52" i="20"/>
  <c r="C45" i="20"/>
  <c r="D41" i="20"/>
  <c r="I21" i="20"/>
  <c r="E21" i="20"/>
  <c r="N46" i="20"/>
  <c r="C30" i="20"/>
  <c r="G29" i="20"/>
  <c r="F28" i="20"/>
  <c r="D26" i="20"/>
  <c r="D25" i="20"/>
  <c r="P25" i="20" s="1"/>
  <c r="AA25" i="20" s="1"/>
  <c r="C23" i="20"/>
  <c r="O23" i="20" s="1"/>
  <c r="B22" i="20"/>
  <c r="N22" i="20" s="1"/>
  <c r="C37" i="20"/>
  <c r="O37" i="20" s="1"/>
  <c r="AA37" i="20" s="1"/>
  <c r="J42" i="20"/>
  <c r="D42" i="20"/>
  <c r="P42" i="20" s="1"/>
  <c r="O66" i="18"/>
  <c r="L47" i="17"/>
  <c r="N22" i="22" s="1"/>
  <c r="L48" i="17"/>
  <c r="L49" i="17"/>
  <c r="Q24" i="22" s="1"/>
  <c r="L50" i="17"/>
  <c r="O25" i="22" s="1"/>
  <c r="L52" i="17"/>
  <c r="P52" i="17" s="1"/>
  <c r="U18" i="17" s="1"/>
  <c r="W18" i="17" s="1"/>
  <c r="L53" i="17"/>
  <c r="J7" i="19"/>
  <c r="J8" i="19"/>
  <c r="C14" i="18"/>
  <c r="C34" i="18" s="1"/>
  <c r="O65" i="18"/>
  <c r="O81" i="18" s="1"/>
  <c r="H22" i="18"/>
  <c r="C21" i="21" s="1"/>
  <c r="H23" i="18"/>
  <c r="C22" i="21" s="1"/>
  <c r="H24" i="18"/>
  <c r="C23" i="21" s="1"/>
  <c r="H25" i="18"/>
  <c r="C24" i="21" s="1"/>
  <c r="H26" i="18"/>
  <c r="C25" i="21" s="1"/>
  <c r="H28" i="18"/>
  <c r="C26" i="21" s="1"/>
  <c r="Q67" i="18"/>
  <c r="V34" i="22" s="1"/>
  <c r="T69" i="18"/>
  <c r="D21" i="21" s="1"/>
  <c r="E33" i="18"/>
  <c r="E10" i="18"/>
  <c r="Q61" i="18" s="1"/>
  <c r="N53" i="20"/>
  <c r="E67" i="17"/>
  <c r="D67" i="17"/>
  <c r="D47" i="17"/>
  <c r="D48" i="17"/>
  <c r="D49" i="17"/>
  <c r="D52" i="17"/>
  <c r="D53" i="17"/>
  <c r="R29" i="20" s="1"/>
  <c r="D54" i="17"/>
  <c r="O30" i="20" s="1"/>
  <c r="P30" i="20" s="1"/>
  <c r="D14" i="17"/>
  <c r="D15" i="17"/>
  <c r="D16" i="17"/>
  <c r="D17" i="17"/>
  <c r="D18" i="17"/>
  <c r="H18" i="17" s="1"/>
  <c r="D19" i="17"/>
  <c r="A2" i="12"/>
  <c r="B40" i="17" s="1"/>
  <c r="J40" i="17" s="1"/>
  <c r="A4" i="12"/>
  <c r="B3" i="17" s="1"/>
  <c r="B2" i="17"/>
  <c r="R2" i="17" s="1"/>
  <c r="A1" i="12"/>
  <c r="B1" i="17" s="1"/>
  <c r="C13" i="16"/>
  <c r="E17" i="17"/>
  <c r="E15" i="17"/>
  <c r="E11" i="17"/>
  <c r="E10" i="17"/>
  <c r="E8" i="17"/>
  <c r="M53" i="18"/>
  <c r="M54" i="18"/>
  <c r="M52" i="18"/>
  <c r="J11" i="19"/>
  <c r="J12" i="19"/>
  <c r="J13" i="19"/>
  <c r="J16" i="19"/>
  <c r="J17" i="19"/>
  <c r="J18" i="19"/>
  <c r="J19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B72" i="17"/>
  <c r="J72" i="17" s="1"/>
  <c r="N96" i="18"/>
  <c r="A22" i="12" s="1"/>
  <c r="N95" i="18"/>
  <c r="F8" i="17"/>
  <c r="F9" i="17"/>
  <c r="F10" i="17"/>
  <c r="F11" i="17"/>
  <c r="F12" i="17"/>
  <c r="F14" i="17"/>
  <c r="F15" i="17"/>
  <c r="F16" i="17"/>
  <c r="F17" i="17"/>
  <c r="C19" i="16"/>
  <c r="C20" i="16"/>
  <c r="R24" i="22" l="1"/>
  <c r="S24" i="22" s="1"/>
  <c r="O22" i="22"/>
  <c r="N28" i="22"/>
  <c r="N29" i="22" s="1"/>
  <c r="N30" i="22" s="1"/>
  <c r="T25" i="22"/>
  <c r="U25" i="22" s="1"/>
  <c r="P25" i="22"/>
  <c r="S28" i="20"/>
  <c r="T28" i="20" s="1"/>
  <c r="Q28" i="20"/>
  <c r="R28" i="20" s="1"/>
  <c r="E54" i="17"/>
  <c r="O45" i="20" s="1"/>
  <c r="P45" i="20" s="1"/>
  <c r="E52" i="17"/>
  <c r="H52" i="17" s="1"/>
  <c r="T14" i="17" s="1"/>
  <c r="U29" i="20"/>
  <c r="V29" i="20" s="1"/>
  <c r="T29" i="20"/>
  <c r="C11" i="18"/>
  <c r="O62" i="18" s="1"/>
  <c r="Y29" i="22"/>
  <c r="Y30" i="22" s="1"/>
  <c r="X29" i="22"/>
  <c r="X30" i="22" s="1"/>
  <c r="W29" i="22"/>
  <c r="W30" i="22" s="1"/>
  <c r="F22" i="21"/>
  <c r="Q80" i="18"/>
  <c r="O50" i="20"/>
  <c r="Y32" i="20"/>
  <c r="Y33" i="20" s="1"/>
  <c r="V42" i="20"/>
  <c r="V46" i="20" s="1"/>
  <c r="V50" i="20"/>
  <c r="P41" i="20"/>
  <c r="P50" i="20"/>
  <c r="X32" i="20"/>
  <c r="X33" i="20" s="1"/>
  <c r="F45" i="20"/>
  <c r="F30" i="20"/>
  <c r="E26" i="20"/>
  <c r="Q26" i="20" s="1"/>
  <c r="P26" i="20"/>
  <c r="J6" i="19"/>
  <c r="J5" i="2" s="1"/>
  <c r="H40" i="18" s="1"/>
  <c r="B39" i="17"/>
  <c r="J39" i="17" s="1"/>
  <c r="R1" i="17"/>
  <c r="B41" i="17"/>
  <c r="J41" i="17" s="1"/>
  <c r="R3" i="17"/>
  <c r="H53" i="17"/>
  <c r="T16" i="17" s="1"/>
  <c r="H48" i="17"/>
  <c r="T10" i="17" s="1"/>
  <c r="W10" i="17" s="1"/>
  <c r="H49" i="17"/>
  <c r="T11" i="17" s="1"/>
  <c r="W11" i="17" s="1"/>
  <c r="E41" i="20"/>
  <c r="C18" i="12"/>
  <c r="F65" i="17"/>
  <c r="H65" i="17" s="1"/>
  <c r="T30" i="17" s="1"/>
  <c r="C19" i="18"/>
  <c r="H19" i="18" s="1"/>
  <c r="C18" i="21" s="1"/>
  <c r="J21" i="19"/>
  <c r="J8" i="2" s="1"/>
  <c r="H46" i="18" s="1"/>
  <c r="J10" i="19"/>
  <c r="J6" i="2" s="1"/>
  <c r="H11" i="17"/>
  <c r="T92" i="18"/>
  <c r="T72" i="18"/>
  <c r="D24" i="21" s="1"/>
  <c r="T68" i="18"/>
  <c r="D23" i="20"/>
  <c r="P23" i="20" s="1"/>
  <c r="AA23" i="20" s="1"/>
  <c r="T71" i="18"/>
  <c r="D23" i="21" s="1"/>
  <c r="F23" i="21" s="1"/>
  <c r="C17" i="18"/>
  <c r="J15" i="19"/>
  <c r="J7" i="2" s="1"/>
  <c r="H41" i="18" s="1"/>
  <c r="H17" i="17"/>
  <c r="H34" i="18"/>
  <c r="C30" i="21" s="1"/>
  <c r="T73" i="18"/>
  <c r="D25" i="21" s="1"/>
  <c r="H14" i="18"/>
  <c r="C13" i="21" s="1"/>
  <c r="G28" i="20"/>
  <c r="T81" i="18"/>
  <c r="D30" i="21" s="1"/>
  <c r="W31" i="20"/>
  <c r="Q65" i="18"/>
  <c r="T65" i="18" s="1"/>
  <c r="P48" i="17"/>
  <c r="U15" i="17" s="1"/>
  <c r="W15" i="17" s="1"/>
  <c r="P49" i="17"/>
  <c r="U16" i="17" s="1"/>
  <c r="O67" i="18"/>
  <c r="H10" i="17"/>
  <c r="B73" i="17"/>
  <c r="J73" i="17"/>
  <c r="N31" i="20"/>
  <c r="E42" i="20"/>
  <c r="Q42" i="20" s="1"/>
  <c r="I29" i="20"/>
  <c r="H15" i="17"/>
  <c r="Q53" i="20"/>
  <c r="T75" i="18"/>
  <c r="D26" i="21" s="1"/>
  <c r="V19" i="2"/>
  <c r="C16" i="18"/>
  <c r="H16" i="18" s="1"/>
  <c r="C15" i="21" s="1"/>
  <c r="Q31" i="20" l="1"/>
  <c r="Q32" i="20" s="1"/>
  <c r="Q33" i="20" s="1"/>
  <c r="A10" i="19"/>
  <c r="K6" i="2" s="1"/>
  <c r="H44" i="18" s="1"/>
  <c r="AA25" i="22"/>
  <c r="AA24" i="22"/>
  <c r="H43" i="18"/>
  <c r="P22" i="22"/>
  <c r="Q22" i="22" s="1"/>
  <c r="R22" i="22" s="1"/>
  <c r="O28" i="22"/>
  <c r="O29" i="22" s="1"/>
  <c r="O30" i="22" s="1"/>
  <c r="D13" i="21"/>
  <c r="M53" i="17"/>
  <c r="E19" i="17" s="1"/>
  <c r="H19" i="17" s="1"/>
  <c r="AA29" i="20"/>
  <c r="M47" i="17"/>
  <c r="N35" i="22" s="1"/>
  <c r="O35" i="22" s="1"/>
  <c r="D20" i="21"/>
  <c r="F20" i="21" s="1"/>
  <c r="F26" i="21"/>
  <c r="M50" i="17"/>
  <c r="O38" i="22" s="1"/>
  <c r="F15" i="21"/>
  <c r="E47" i="17"/>
  <c r="H54" i="17"/>
  <c r="T17" i="17" s="1"/>
  <c r="S43" i="20"/>
  <c r="T43" i="20" s="1"/>
  <c r="Q43" i="20"/>
  <c r="R43" i="20" s="1"/>
  <c r="F24" i="21"/>
  <c r="P45" i="22"/>
  <c r="V45" i="22"/>
  <c r="T45" i="22"/>
  <c r="S45" i="22"/>
  <c r="Q45" i="22"/>
  <c r="F21" i="21"/>
  <c r="F25" i="21"/>
  <c r="F18" i="12"/>
  <c r="I18" i="12" s="1"/>
  <c r="N49" i="22"/>
  <c r="W32" i="20"/>
  <c r="W33" i="20" s="1"/>
  <c r="Q41" i="20"/>
  <c r="Q50" i="20"/>
  <c r="O46" i="20"/>
  <c r="U46" i="20"/>
  <c r="N32" i="20"/>
  <c r="N33" i="20" s="1"/>
  <c r="H45" i="20"/>
  <c r="AA45" i="20" s="1"/>
  <c r="H30" i="20"/>
  <c r="AA30" i="20" s="1"/>
  <c r="AA26" i="20"/>
  <c r="F30" i="21"/>
  <c r="C10" i="12"/>
  <c r="W16" i="17"/>
  <c r="N65" i="17"/>
  <c r="P65" i="17" s="1"/>
  <c r="U30" i="17" s="1"/>
  <c r="W30" i="17" s="1"/>
  <c r="P31" i="20"/>
  <c r="H45" i="18"/>
  <c r="J40" i="19"/>
  <c r="H17" i="18"/>
  <c r="C16" i="21" s="1"/>
  <c r="H28" i="20"/>
  <c r="F10" i="12"/>
  <c r="V20" i="2"/>
  <c r="T67" i="18"/>
  <c r="D18" i="21" s="1"/>
  <c r="O80" i="18"/>
  <c r="T80" i="18" s="1"/>
  <c r="P46" i="20"/>
  <c r="H39" i="18"/>
  <c r="T53" i="20"/>
  <c r="Q46" i="20" l="1"/>
  <c r="H42" i="18"/>
  <c r="C17" i="12" s="1"/>
  <c r="P50" i="17"/>
  <c r="U17" i="17" s="1"/>
  <c r="W17" i="17" s="1"/>
  <c r="S22" i="22"/>
  <c r="R28" i="22"/>
  <c r="R29" i="22" s="1"/>
  <c r="R30" i="22" s="1"/>
  <c r="N41" i="22"/>
  <c r="P47" i="17"/>
  <c r="U14" i="17" s="1"/>
  <c r="W14" i="17" s="1"/>
  <c r="D29" i="21"/>
  <c r="D28" i="21" s="1"/>
  <c r="AA43" i="20"/>
  <c r="P35" i="22"/>
  <c r="Q35" i="22" s="1"/>
  <c r="R35" i="22" s="1"/>
  <c r="O41" i="22"/>
  <c r="P38" i="22"/>
  <c r="T38" i="22"/>
  <c r="U38" i="22" s="1"/>
  <c r="P53" i="17"/>
  <c r="U19" i="17" s="1"/>
  <c r="W19" i="17" s="1"/>
  <c r="AA45" i="22"/>
  <c r="Q49" i="22"/>
  <c r="T49" i="22"/>
  <c r="W49" i="22"/>
  <c r="AA41" i="20"/>
  <c r="P32" i="20"/>
  <c r="P33" i="20" s="1"/>
  <c r="E16" i="17"/>
  <c r="H16" i="17" s="1"/>
  <c r="F18" i="21"/>
  <c r="F16" i="21"/>
  <c r="F13" i="21"/>
  <c r="I10" i="12"/>
  <c r="F30" i="17"/>
  <c r="H30" i="17" s="1"/>
  <c r="I28" i="20"/>
  <c r="E14" i="17"/>
  <c r="H14" i="17" s="1"/>
  <c r="T79" i="18"/>
  <c r="W53" i="20"/>
  <c r="AA53" i="20" s="1"/>
  <c r="C16" i="12"/>
  <c r="F63" i="17"/>
  <c r="N51" i="20"/>
  <c r="T90" i="18"/>
  <c r="N47" i="22" s="1"/>
  <c r="E9" i="17"/>
  <c r="H47" i="17"/>
  <c r="T9" i="17" s="1"/>
  <c r="W9" i="17" s="1"/>
  <c r="H38" i="18" l="1"/>
  <c r="T91" i="18"/>
  <c r="O48" i="22" s="1"/>
  <c r="P48" i="22" s="1"/>
  <c r="Q48" i="22" s="1"/>
  <c r="R48" i="22" s="1"/>
  <c r="S48" i="22" s="1"/>
  <c r="T48" i="22" s="1"/>
  <c r="O52" i="20"/>
  <c r="P52" i="20" s="1"/>
  <c r="F64" i="17"/>
  <c r="F67" i="17" s="1"/>
  <c r="T22" i="22"/>
  <c r="U22" i="22" s="1"/>
  <c r="AA38" i="22"/>
  <c r="S35" i="22"/>
  <c r="R41" i="22"/>
  <c r="O47" i="22"/>
  <c r="N50" i="22"/>
  <c r="N52" i="22" s="1"/>
  <c r="AA49" i="22"/>
  <c r="F16" i="12"/>
  <c r="I16" i="12" s="1"/>
  <c r="N63" i="17"/>
  <c r="H63" i="17"/>
  <c r="T28" i="17" s="1"/>
  <c r="F12" i="12"/>
  <c r="N55" i="17"/>
  <c r="H9" i="17"/>
  <c r="O51" i="20"/>
  <c r="N55" i="20"/>
  <c r="N57" i="20" s="1"/>
  <c r="N60" i="22" l="1"/>
  <c r="F17" i="12"/>
  <c r="I17" i="12" s="1"/>
  <c r="N64" i="17"/>
  <c r="P64" i="17" s="1"/>
  <c r="U29" i="17" s="1"/>
  <c r="T89" i="18"/>
  <c r="H64" i="17"/>
  <c r="T29" i="17" s="1"/>
  <c r="T32" i="17" s="1"/>
  <c r="V22" i="22"/>
  <c r="AA22" i="22" s="1"/>
  <c r="U28" i="22"/>
  <c r="U29" i="22" s="1"/>
  <c r="U30" i="22" s="1"/>
  <c r="T35" i="22"/>
  <c r="U35" i="22" s="1"/>
  <c r="AA48" i="22"/>
  <c r="N54" i="22"/>
  <c r="P47" i="22"/>
  <c r="O50" i="22"/>
  <c r="O52" i="22" s="1"/>
  <c r="U31" i="20"/>
  <c r="AA28" i="20"/>
  <c r="N59" i="20"/>
  <c r="P63" i="17"/>
  <c r="P51" i="20"/>
  <c r="O55" i="20"/>
  <c r="F28" i="17"/>
  <c r="N58" i="17"/>
  <c r="P55" i="17"/>
  <c r="Q52" i="20"/>
  <c r="N59" i="22" l="1"/>
  <c r="O54" i="22"/>
  <c r="N67" i="17"/>
  <c r="N70" i="17" s="1"/>
  <c r="F29" i="17"/>
  <c r="H29" i="17" s="1"/>
  <c r="H67" i="17"/>
  <c r="W29" i="17"/>
  <c r="V35" i="22"/>
  <c r="U41" i="22"/>
  <c r="Q47" i="22"/>
  <c r="P50" i="22"/>
  <c r="U32" i="20"/>
  <c r="U33" i="20" s="1"/>
  <c r="P67" i="17"/>
  <c r="U28" i="17"/>
  <c r="U21" i="17"/>
  <c r="H28" i="17"/>
  <c r="R52" i="20"/>
  <c r="Q51" i="20"/>
  <c r="P55" i="20"/>
  <c r="P57" i="20" s="1"/>
  <c r="F32" i="17" l="1"/>
  <c r="H32" i="17"/>
  <c r="V41" i="22"/>
  <c r="AA35" i="22"/>
  <c r="R47" i="22"/>
  <c r="Q50" i="22"/>
  <c r="W28" i="17"/>
  <c r="U32" i="17"/>
  <c r="W32" i="17" s="1"/>
  <c r="R51" i="20"/>
  <c r="Q55" i="20"/>
  <c r="S52" i="20"/>
  <c r="P59" i="20"/>
  <c r="S47" i="22" l="1"/>
  <c r="R50" i="22"/>
  <c r="R52" i="22" s="1"/>
  <c r="Q57" i="20"/>
  <c r="Q59" i="20" s="1"/>
  <c r="T52" i="20"/>
  <c r="AA52" i="20" s="1"/>
  <c r="S51" i="20"/>
  <c r="R54" i="22" l="1"/>
  <c r="T47" i="22"/>
  <c r="S50" i="22"/>
  <c r="T51" i="20"/>
  <c r="U47" i="22" l="1"/>
  <c r="T50" i="22"/>
  <c r="U51" i="20"/>
  <c r="V47" i="22" l="1"/>
  <c r="U50" i="22"/>
  <c r="U52" i="22" s="1"/>
  <c r="V51" i="20"/>
  <c r="U55" i="20"/>
  <c r="U54" i="22" l="1"/>
  <c r="W47" i="22"/>
  <c r="V50" i="22"/>
  <c r="U57" i="20"/>
  <c r="U59" i="20" s="1"/>
  <c r="W51" i="20"/>
  <c r="V55" i="20"/>
  <c r="U59" i="22" l="1"/>
  <c r="U60" i="22"/>
  <c r="X47" i="22"/>
  <c r="W50" i="22"/>
  <c r="W52" i="22" s="1"/>
  <c r="X51" i="20"/>
  <c r="W55" i="20"/>
  <c r="W54" i="22" l="1"/>
  <c r="Y47" i="22"/>
  <c r="X50" i="22"/>
  <c r="X52" i="22" s="1"/>
  <c r="W57" i="20"/>
  <c r="W59" i="20" s="1"/>
  <c r="X55" i="20"/>
  <c r="Y51" i="20"/>
  <c r="AA51" i="20" s="1"/>
  <c r="W59" i="22" l="1"/>
  <c r="W60" i="22"/>
  <c r="X54" i="22"/>
  <c r="Y50" i="22"/>
  <c r="Y52" i="22" s="1"/>
  <c r="AA47" i="22"/>
  <c r="AA50" i="22" s="1"/>
  <c r="AB50" i="22" s="1"/>
  <c r="X57" i="20"/>
  <c r="X59" i="20" s="1"/>
  <c r="Y55" i="20"/>
  <c r="Y57" i="20" s="1"/>
  <c r="X59" i="22" l="1"/>
  <c r="X60" i="22"/>
  <c r="Y60" i="22"/>
  <c r="Y54" i="22"/>
  <c r="Y59" i="20"/>
  <c r="Y59" i="22" l="1"/>
  <c r="D46" i="17"/>
  <c r="H46" i="17" s="1"/>
  <c r="D8" i="17"/>
  <c r="C22" i="20"/>
  <c r="O22" i="20" l="1"/>
  <c r="H8" i="17"/>
  <c r="T8" i="17"/>
  <c r="O31" i="20" l="1"/>
  <c r="AA22" i="20"/>
  <c r="W8" i="17"/>
  <c r="O32" i="20" l="1"/>
  <c r="O33" i="20" l="1"/>
  <c r="O57" i="20" s="1"/>
  <c r="O59" i="20" l="1"/>
  <c r="O59" i="22" s="1"/>
  <c r="O60" i="22"/>
  <c r="F19" i="2"/>
  <c r="U19" i="2" s="1"/>
  <c r="U20" i="2" s="1"/>
  <c r="O19" i="23"/>
  <c r="O22" i="23"/>
  <c r="N36" i="23" s="1"/>
  <c r="Q66" i="18" l="1"/>
  <c r="F27" i="20"/>
  <c r="R27" i="20" s="1"/>
  <c r="C18" i="18"/>
  <c r="B21" i="2"/>
  <c r="F5" i="2" s="1"/>
  <c r="C10" i="18" s="1"/>
  <c r="H10" i="18" s="1"/>
  <c r="D50" i="17"/>
  <c r="J27" i="20"/>
  <c r="V27" i="20" s="1"/>
  <c r="V31" i="20" s="1"/>
  <c r="F42" i="20"/>
  <c r="S34" i="22" l="1"/>
  <c r="S41" i="22" s="1"/>
  <c r="P34" i="22"/>
  <c r="P41" i="22" s="1"/>
  <c r="T66" i="18"/>
  <c r="M46" i="17" s="1"/>
  <c r="M58" i="17" s="1"/>
  <c r="M70" i="17" s="1"/>
  <c r="T34" i="22"/>
  <c r="T41" i="22" s="1"/>
  <c r="Q34" i="22"/>
  <c r="Q41" i="22" s="1"/>
  <c r="G27" i="20"/>
  <c r="S27" i="20" s="1"/>
  <c r="S31" i="20" s="1"/>
  <c r="H11" i="18"/>
  <c r="C9" i="21"/>
  <c r="H18" i="18"/>
  <c r="C33" i="18"/>
  <c r="H33" i="18" s="1"/>
  <c r="C29" i="21" s="1"/>
  <c r="V32" i="20"/>
  <c r="V33" i="20" s="1"/>
  <c r="V57" i="20" s="1"/>
  <c r="V59" i="20" s="1"/>
  <c r="G42" i="20"/>
  <c r="R50" i="20"/>
  <c r="R42" i="20"/>
  <c r="D55" i="17"/>
  <c r="H55" i="17" s="1"/>
  <c r="T20" i="17" s="1"/>
  <c r="R31" i="20"/>
  <c r="AD41" i="22" l="1"/>
  <c r="D17" i="21"/>
  <c r="D12" i="21" s="1"/>
  <c r="T64" i="18"/>
  <c r="F11" i="12" s="1"/>
  <c r="AA34" i="22"/>
  <c r="AA41" i="22" s="1"/>
  <c r="E50" i="17"/>
  <c r="C17" i="21"/>
  <c r="H27" i="20"/>
  <c r="T27" i="20" s="1"/>
  <c r="T31" i="20" s="1"/>
  <c r="T32" i="20" s="1"/>
  <c r="T33" i="20" s="1"/>
  <c r="H13" i="18"/>
  <c r="C11" i="12" s="1"/>
  <c r="R55" i="20"/>
  <c r="S50" i="20"/>
  <c r="S55" i="20" s="1"/>
  <c r="H42" i="20"/>
  <c r="T50" i="20" s="1"/>
  <c r="T55" i="20" s="1"/>
  <c r="H32" i="18"/>
  <c r="D58" i="17"/>
  <c r="R32" i="20"/>
  <c r="R46" i="20"/>
  <c r="S42" i="20"/>
  <c r="S32" i="20"/>
  <c r="S33" i="20" s="1"/>
  <c r="C10" i="21"/>
  <c r="H9" i="18"/>
  <c r="AB41" i="22" l="1"/>
  <c r="AA27" i="20"/>
  <c r="AA31" i="20" s="1"/>
  <c r="AB31" i="20" s="1"/>
  <c r="C8" i="21"/>
  <c r="AA50" i="20"/>
  <c r="AA55" i="20" s="1"/>
  <c r="AB55" i="20" s="1"/>
  <c r="H30" i="18"/>
  <c r="H36" i="18" s="1"/>
  <c r="C9" i="12"/>
  <c r="D76" i="17"/>
  <c r="C12" i="21"/>
  <c r="F17" i="21"/>
  <c r="F12" i="21" s="1"/>
  <c r="E58" i="17"/>
  <c r="E12" i="17"/>
  <c r="H50" i="17"/>
  <c r="AA32" i="20"/>
  <c r="R33" i="20"/>
  <c r="R57" i="20" s="1"/>
  <c r="R60" i="22" s="1"/>
  <c r="F29" i="21"/>
  <c r="F28" i="21" s="1"/>
  <c r="C28" i="21"/>
  <c r="I11" i="12"/>
  <c r="S46" i="20"/>
  <c r="S57" i="20" s="1"/>
  <c r="S59" i="20" s="1"/>
  <c r="T42" i="20"/>
  <c r="D70" i="17"/>
  <c r="C12" i="12"/>
  <c r="F56" i="17"/>
  <c r="AA33" i="20" l="1"/>
  <c r="AB33" i="20" s="1"/>
  <c r="C32" i="21"/>
  <c r="D77" i="17"/>
  <c r="T12" i="17"/>
  <c r="C13" i="12"/>
  <c r="C10" i="16"/>
  <c r="H49" i="18"/>
  <c r="K27" i="18" s="1"/>
  <c r="H56" i="17"/>
  <c r="T21" i="17" s="1"/>
  <c r="W21" i="17" s="1"/>
  <c r="F58" i="17"/>
  <c r="F21" i="17"/>
  <c r="T46" i="20"/>
  <c r="T57" i="20" s="1"/>
  <c r="T59" i="20" s="1"/>
  <c r="AA42" i="20"/>
  <c r="AA46" i="20" s="1"/>
  <c r="AB46" i="20" s="1"/>
  <c r="I12" i="12"/>
  <c r="R59" i="20"/>
  <c r="R59" i="22" s="1"/>
  <c r="E23" i="17"/>
  <c r="E70" i="17"/>
  <c r="C19" i="12" l="1"/>
  <c r="D15" i="12" s="1"/>
  <c r="AA57" i="20"/>
  <c r="AA59" i="20"/>
  <c r="K28" i="18"/>
  <c r="K20" i="18"/>
  <c r="K44" i="18"/>
  <c r="K25" i="18"/>
  <c r="K14" i="18"/>
  <c r="K34" i="18"/>
  <c r="K16" i="18"/>
  <c r="K47" i="18"/>
  <c r="K41" i="18"/>
  <c r="K21" i="18"/>
  <c r="K46" i="18"/>
  <c r="K45" i="18"/>
  <c r="K22" i="18"/>
  <c r="K15" i="18"/>
  <c r="K26" i="18"/>
  <c r="K23" i="18"/>
  <c r="K17" i="18"/>
  <c r="K43" i="18"/>
  <c r="K42" i="18"/>
  <c r="K39" i="18"/>
  <c r="K40" i="18"/>
  <c r="K19" i="18"/>
  <c r="K24" i="18"/>
  <c r="K10" i="18"/>
  <c r="K11" i="18"/>
  <c r="K33" i="18"/>
  <c r="K18" i="18"/>
  <c r="H21" i="17"/>
  <c r="F23" i="17"/>
  <c r="B19" i="16"/>
  <c r="C11" i="16"/>
  <c r="H58" i="17"/>
  <c r="E35" i="17"/>
  <c r="F70" i="17"/>
  <c r="T23" i="17"/>
  <c r="D13" i="12" l="1"/>
  <c r="K32" i="18"/>
  <c r="AB57" i="20"/>
  <c r="AA58" i="20"/>
  <c r="K38" i="18"/>
  <c r="E19" i="16"/>
  <c r="D19" i="16"/>
  <c r="F35" i="17"/>
  <c r="K13" i="18"/>
  <c r="D17" i="12"/>
  <c r="D19" i="12"/>
  <c r="D16" i="12"/>
  <c r="D10" i="12"/>
  <c r="D18" i="12"/>
  <c r="D11" i="12"/>
  <c r="D9" i="12"/>
  <c r="D12" i="12"/>
  <c r="K9" i="18"/>
  <c r="T35" i="17"/>
  <c r="H70" i="17"/>
  <c r="K30" i="18" l="1"/>
  <c r="K36" i="18" s="1"/>
  <c r="K49" i="18" s="1"/>
  <c r="Z8" i="23" l="1"/>
  <c r="C12" i="2" s="1"/>
  <c r="W20" i="23"/>
  <c r="L46" i="17" l="1"/>
  <c r="C21" i="2"/>
  <c r="G5" i="2" s="1"/>
  <c r="O61" i="18" s="1"/>
  <c r="T61" i="18" s="1"/>
  <c r="D21" i="22"/>
  <c r="J21" i="22"/>
  <c r="V21" i="22" s="1"/>
  <c r="V28" i="22" s="1"/>
  <c r="V29" i="22" s="1"/>
  <c r="V30" i="22" s="1"/>
  <c r="V52" i="22" s="1"/>
  <c r="D12" i="17"/>
  <c r="V54" i="22" l="1"/>
  <c r="V59" i="22" s="1"/>
  <c r="V60" i="22"/>
  <c r="P21" i="22"/>
  <c r="G21" i="22"/>
  <c r="E21" i="22"/>
  <c r="Q21" i="22" s="1"/>
  <c r="Q28" i="22" s="1"/>
  <c r="Q29" i="22" s="1"/>
  <c r="Q30" i="22" s="1"/>
  <c r="Q52" i="22" s="1"/>
  <c r="T62" i="18"/>
  <c r="D9" i="21"/>
  <c r="D20" i="17"/>
  <c r="H20" i="17" s="1"/>
  <c r="H12" i="17"/>
  <c r="L54" i="17"/>
  <c r="P54" i="17" s="1"/>
  <c r="U20" i="17" s="1"/>
  <c r="W20" i="17" s="1"/>
  <c r="P46" i="17"/>
  <c r="Q54" i="22" l="1"/>
  <c r="Q59" i="22" s="1"/>
  <c r="Q60" i="22"/>
  <c r="L58" i="17"/>
  <c r="L70" i="17" s="1"/>
  <c r="D23" i="17"/>
  <c r="D35" i="17" s="1"/>
  <c r="T60" i="18"/>
  <c r="S21" i="22"/>
  <c r="S28" i="22" s="1"/>
  <c r="S29" i="22" s="1"/>
  <c r="S30" i="22" s="1"/>
  <c r="S52" i="22" s="1"/>
  <c r="H21" i="22"/>
  <c r="T21" i="22" s="1"/>
  <c r="T28" i="22" s="1"/>
  <c r="T29" i="22" s="1"/>
  <c r="T30" i="22" s="1"/>
  <c r="T52" i="22" s="1"/>
  <c r="U12" i="17"/>
  <c r="P58" i="17"/>
  <c r="H23" i="17"/>
  <c r="D10" i="21"/>
  <c r="F9" i="21"/>
  <c r="P28" i="22"/>
  <c r="P29" i="22" s="1"/>
  <c r="P30" i="22" s="1"/>
  <c r="P52" i="22" l="1"/>
  <c r="P60" i="22" s="1"/>
  <c r="AD30" i="22"/>
  <c r="T54" i="22"/>
  <c r="T59" i="22" s="1"/>
  <c r="T60" i="22"/>
  <c r="S54" i="22"/>
  <c r="S59" i="22" s="1"/>
  <c r="S60" i="22"/>
  <c r="AA21" i="22"/>
  <c r="AA28" i="22" s="1"/>
  <c r="AB28" i="22" s="1"/>
  <c r="D8" i="21"/>
  <c r="D32" i="21" s="1"/>
  <c r="F10" i="21"/>
  <c r="F8" i="21" s="1"/>
  <c r="F32" i="21" s="1"/>
  <c r="H35" i="17"/>
  <c r="U23" i="17"/>
  <c r="W12" i="17"/>
  <c r="F9" i="12"/>
  <c r="T77" i="18"/>
  <c r="T83" i="18" s="1"/>
  <c r="P70" i="17"/>
  <c r="AA52" i="22" l="1"/>
  <c r="P54" i="22"/>
  <c r="P59" i="22" s="1"/>
  <c r="AA59" i="22" s="1"/>
  <c r="AA60" i="22"/>
  <c r="U61" i="22" s="1"/>
  <c r="AA29" i="22"/>
  <c r="AA30" i="22" s="1"/>
  <c r="AB30" i="22" s="1"/>
  <c r="F13" i="12"/>
  <c r="I9" i="12"/>
  <c r="U35" i="17"/>
  <c r="W23" i="17"/>
  <c r="T94" i="18"/>
  <c r="D10" i="16"/>
  <c r="AA54" i="22" l="1"/>
  <c r="F31" i="2" s="1"/>
  <c r="D33" i="21" s="1"/>
  <c r="F19" i="12"/>
  <c r="G15" i="12" s="1"/>
  <c r="P61" i="22"/>
  <c r="Y61" i="22"/>
  <c r="R61" i="22"/>
  <c r="S61" i="22"/>
  <c r="O61" i="22"/>
  <c r="X61" i="22"/>
  <c r="AC59" i="22"/>
  <c r="T61" i="22"/>
  <c r="W61" i="22"/>
  <c r="N61" i="22"/>
  <c r="Q61" i="22"/>
  <c r="V61" i="22"/>
  <c r="AB52" i="22"/>
  <c r="I13" i="12"/>
  <c r="W35" i="17"/>
  <c r="B20" i="16"/>
  <c r="D11" i="16"/>
  <c r="C12" i="16" s="1"/>
  <c r="I19" i="12" l="1"/>
  <c r="J15" i="12" s="1"/>
  <c r="F21" i="12"/>
  <c r="F20" i="12" s="1"/>
  <c r="AA53" i="22"/>
  <c r="E50" i="18"/>
  <c r="I47" i="18" s="1"/>
  <c r="E37" i="17"/>
  <c r="W24" i="17" s="1"/>
  <c r="D20" i="16"/>
  <c r="C25" i="16"/>
  <c r="C23" i="16"/>
  <c r="C22" i="16"/>
  <c r="C21" i="16"/>
  <c r="C24" i="16"/>
  <c r="C26" i="16"/>
  <c r="E20" i="16"/>
  <c r="G13" i="12"/>
  <c r="G16" i="12"/>
  <c r="G18" i="12"/>
  <c r="G11" i="12"/>
  <c r="G12" i="12"/>
  <c r="G19" i="12"/>
  <c r="G10" i="12"/>
  <c r="G17" i="12"/>
  <c r="G9" i="12"/>
  <c r="P59" i="17" l="1"/>
  <c r="F24" i="17"/>
  <c r="R37" i="17"/>
  <c r="U24" i="17"/>
  <c r="H71" i="17"/>
  <c r="F59" i="17"/>
  <c r="P71" i="17"/>
  <c r="M72" i="17"/>
  <c r="M68" i="17"/>
  <c r="F68" i="17"/>
  <c r="E59" i="17"/>
  <c r="E36" i="17"/>
  <c r="E72" i="17"/>
  <c r="E33" i="17"/>
  <c r="H36" i="17"/>
  <c r="L71" i="17"/>
  <c r="H68" i="17"/>
  <c r="T24" i="17"/>
  <c r="L59" i="17"/>
  <c r="N68" i="17"/>
  <c r="E71" i="17"/>
  <c r="E68" i="17"/>
  <c r="W33" i="17"/>
  <c r="U33" i="17"/>
  <c r="W36" i="17"/>
  <c r="P68" i="17"/>
  <c r="F33" i="17"/>
  <c r="D33" i="17"/>
  <c r="D24" i="17"/>
  <c r="L68" i="17"/>
  <c r="H59" i="17"/>
  <c r="D68" i="17"/>
  <c r="N59" i="17"/>
  <c r="E24" i="17"/>
  <c r="I19" i="18"/>
  <c r="I15" i="18"/>
  <c r="I28" i="18"/>
  <c r="I23" i="18"/>
  <c r="I11" i="18"/>
  <c r="I25" i="18"/>
  <c r="I45" i="18"/>
  <c r="I10" i="18"/>
  <c r="I41" i="18"/>
  <c r="Q95" i="18"/>
  <c r="U61" i="18" s="1"/>
  <c r="I42" i="18"/>
  <c r="I21" i="18"/>
  <c r="I43" i="18"/>
  <c r="I40" i="18"/>
  <c r="I20" i="18"/>
  <c r="I14" i="18"/>
  <c r="F14" i="12"/>
  <c r="C14" i="12"/>
  <c r="C20" i="12"/>
  <c r="U36" i="17"/>
  <c r="M59" i="17"/>
  <c r="D59" i="17"/>
  <c r="D71" i="17"/>
  <c r="D36" i="17"/>
  <c r="F71" i="17"/>
  <c r="M71" i="17"/>
  <c r="T33" i="17"/>
  <c r="I14" i="12"/>
  <c r="H24" i="17"/>
  <c r="H33" i="17"/>
  <c r="T36" i="17"/>
  <c r="N71" i="17"/>
  <c r="F36" i="17"/>
  <c r="I26" i="18"/>
  <c r="I27" i="18"/>
  <c r="I44" i="18"/>
  <c r="I46" i="18"/>
  <c r="I16" i="18"/>
  <c r="I34" i="18"/>
  <c r="I39" i="18"/>
  <c r="I22" i="18"/>
  <c r="I33" i="18"/>
  <c r="I18" i="18"/>
  <c r="I24" i="18"/>
  <c r="I17" i="18"/>
  <c r="J13" i="12"/>
  <c r="J17" i="12"/>
  <c r="J16" i="12"/>
  <c r="J18" i="12"/>
  <c r="J11" i="12"/>
  <c r="J10" i="12"/>
  <c r="J19" i="12"/>
  <c r="J12" i="12"/>
  <c r="I20" i="12"/>
  <c r="J9" i="12"/>
  <c r="D21" i="16"/>
  <c r="E21" i="16"/>
  <c r="I32" i="18" l="1"/>
  <c r="I38" i="18"/>
  <c r="I9" i="18"/>
  <c r="I13" i="18"/>
  <c r="U71" i="18"/>
  <c r="U67" i="18"/>
  <c r="U68" i="18"/>
  <c r="U75" i="18"/>
  <c r="U92" i="18"/>
  <c r="U90" i="18"/>
  <c r="U62" i="18"/>
  <c r="U60" i="18" s="1"/>
  <c r="U72" i="18"/>
  <c r="U65" i="18"/>
  <c r="U73" i="18"/>
  <c r="U80" i="18"/>
  <c r="U86" i="18"/>
  <c r="U81" i="18"/>
  <c r="U69" i="18"/>
  <c r="U74" i="18"/>
  <c r="U66" i="18"/>
  <c r="U70" i="18"/>
  <c r="U87" i="18"/>
  <c r="U91" i="18"/>
  <c r="E22" i="16"/>
  <c r="D22" i="16"/>
  <c r="I30" i="18" l="1"/>
  <c r="I36" i="18" s="1"/>
  <c r="I49" i="18" s="1"/>
  <c r="U85" i="18"/>
  <c r="U79" i="18"/>
  <c r="U64" i="18"/>
  <c r="U77" i="18" s="1"/>
  <c r="U89" i="18"/>
  <c r="D23" i="16"/>
  <c r="E23" i="16"/>
  <c r="U83" i="18" l="1"/>
  <c r="U94" i="18" s="1"/>
  <c r="W74" i="18" s="1"/>
  <c r="E24" i="16"/>
  <c r="D24" i="16"/>
  <c r="W70" i="18" l="1"/>
  <c r="W65" i="18"/>
  <c r="W92" i="18"/>
  <c r="W71" i="18"/>
  <c r="W69" i="18"/>
  <c r="W87" i="18"/>
  <c r="W61" i="18"/>
  <c r="W67" i="18"/>
  <c r="W91" i="18"/>
  <c r="W81" i="18"/>
  <c r="W80" i="18"/>
  <c r="W86" i="18"/>
  <c r="W68" i="18"/>
  <c r="W62" i="18"/>
  <c r="W90" i="18"/>
  <c r="W73" i="18"/>
  <c r="W66" i="18"/>
  <c r="W72" i="18"/>
  <c r="W75" i="18"/>
  <c r="E25" i="16"/>
  <c r="D25" i="16"/>
  <c r="W85" i="18" l="1"/>
  <c r="W60" i="18"/>
  <c r="W89" i="18"/>
  <c r="W79" i="18"/>
  <c r="W64" i="18"/>
  <c r="D26" i="16"/>
  <c r="E26" i="16"/>
  <c r="W77" i="18" l="1"/>
  <c r="W83" i="18" s="1"/>
  <c r="W94" i="18" s="1"/>
  <c r="M1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  <author>Marco Araya</author>
  </authors>
  <commentList>
    <comment ref="AF7" authorId="0" shapeId="0" xr:uid="{2CF62E03-FAB2-43C4-97D3-DDF804A7B2B0}">
      <text>
        <r>
          <rPr>
            <b/>
            <sz val="9"/>
            <color indexed="81"/>
            <rFont val="Tahoma"/>
            <charset val="1"/>
          </rPr>
          <t>Marco Araya Molina:</t>
        </r>
        <r>
          <rPr>
            <sz val="9"/>
            <color indexed="81"/>
            <rFont val="Tahoma"/>
            <charset val="1"/>
          </rPr>
          <t xml:space="preserve">
Aplicación del CAGR de 8 cosechas</t>
        </r>
      </text>
    </comment>
    <comment ref="AD8" authorId="0" shapeId="0" xr:uid="{6F6F24FC-A426-466B-ABA1-7CFD35FB4835}">
      <text>
        <r>
          <rPr>
            <b/>
            <sz val="9"/>
            <color indexed="81"/>
            <rFont val="Tahoma"/>
            <family val="2"/>
          </rPr>
          <t>CCSS: 14.50%</t>
        </r>
        <r>
          <rPr>
            <sz val="9"/>
            <color indexed="81"/>
            <rFont val="Tahoma"/>
            <family val="2"/>
          </rPr>
          <t xml:space="preserve">
- Seguro de Enfermedad y Maternidad: 9.25%
- Seguro de Invalidez, Vejez y Muerte: 5.42%
</t>
        </r>
        <r>
          <rPr>
            <b/>
            <sz val="9"/>
            <color indexed="81"/>
            <rFont val="Tahoma"/>
            <family val="2"/>
          </rPr>
          <t>Instituciones Autónomas: 7.25%</t>
        </r>
        <r>
          <rPr>
            <sz val="9"/>
            <color indexed="81"/>
            <rFont val="Tahoma"/>
            <family val="2"/>
          </rPr>
          <t xml:space="preserve">
- Banco Popular y Desarrollo Comunal: 0.25%
- Fondo de Desarrollo de Asignaciones Familiares: 5.00%
- Instituto Mixto de Ayuda Social: 0.50%
- Instituto Nacional de Aprendizaje: 1.50%
</t>
        </r>
        <r>
          <rPr>
            <b/>
            <sz val="9"/>
            <color indexed="81"/>
            <rFont val="Tahoma"/>
            <family val="2"/>
          </rPr>
          <t>Operadora de Pensiones: 4.75%</t>
        </r>
        <r>
          <rPr>
            <sz val="9"/>
            <color indexed="81"/>
            <rFont val="Tahoma"/>
            <family val="2"/>
          </rPr>
          <t xml:space="preserve">
- Banco Popular y Desarrollo Comunal: 0.25%
- Fondo de Capitalización Laboral: 3.00%
- Pensión Complementaria Obligatoria: 1.50%
</t>
        </r>
        <r>
          <rPr>
            <b/>
            <sz val="9"/>
            <color indexed="81"/>
            <rFont val="Tahoma"/>
            <family val="2"/>
          </rPr>
          <t>Garantías Sociales: 13.66%</t>
        </r>
        <r>
          <rPr>
            <sz val="9"/>
            <color indexed="81"/>
            <rFont val="Tahoma"/>
            <family val="2"/>
          </rPr>
          <t xml:space="preserve">
- Aguinaldo: 8.333%
- Cesantía: 5.333%
</t>
        </r>
        <r>
          <rPr>
            <b/>
            <sz val="9"/>
            <color indexed="81"/>
            <rFont val="Tahoma"/>
            <family val="2"/>
          </rPr>
          <t>Seguro de Riesgos Profesionales: 4.61%</t>
        </r>
      </text>
    </comment>
    <comment ref="B32" authorId="0" shapeId="0" xr:uid="{ACE680E7-AC3E-450A-8639-FE0EE6D3170B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Basado en la fórmula:
- 10-30-10</t>
        </r>
      </text>
    </comment>
    <comment ref="AB32" authorId="0" shapeId="0" xr:uid="{81D30871-159E-416E-B245-118BDC26B407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Basado en la fórmula:
- 10-30-10</t>
        </r>
      </text>
    </comment>
    <comment ref="AD38" authorId="0" shapeId="0" xr:uid="{03C7F1AE-E34B-42EC-80DD-05CDE51C537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Ponderación:</t>
        </r>
        <r>
          <rPr>
            <sz val="9"/>
            <color indexed="81"/>
            <rFont val="Tahoma"/>
            <family val="2"/>
          </rPr>
          <t xml:space="preserve">
- Atemi 10 SL: 30%
- Cyprosol 10 SL: 20%
- Opera 18.3 SE: 50%</t>
        </r>
      </text>
    </comment>
    <comment ref="AD42" authorId="0" shapeId="0" xr:uid="{292E22BB-41D1-4554-A88D-DF8846CF7F55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Ponderación:</t>
        </r>
        <r>
          <rPr>
            <sz val="9"/>
            <color indexed="81"/>
            <rFont val="Tahoma"/>
            <family val="2"/>
          </rPr>
          <t xml:space="preserve">
- Amistar 50 WG: 67%
- Mistral 25 SC: 33%</t>
        </r>
      </text>
    </comment>
    <comment ref="B45" authorId="1" shapeId="0" xr:uid="{C7DB0FE9-DF26-4FEC-90E6-617D65808032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Ponderación:
- Hidróxido/Oxicloruro: 33%
- Sulfatos de Cobre: 67%</t>
        </r>
      </text>
    </comment>
    <comment ref="AD45" authorId="0" shapeId="0" xr:uid="{0EDF2C0C-F48E-4A38-BB4C-1FD1E13A0136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Ponderación:</t>
        </r>
        <r>
          <rPr>
            <sz val="9"/>
            <color indexed="81"/>
            <rFont val="Tahoma"/>
            <family val="2"/>
          </rPr>
          <t xml:space="preserve">
- Hidróxido/Oxicloruro: 33%
- Sulfatos de Cobre: 67%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</authors>
  <commentList>
    <comment ref="G4" authorId="0" shapeId="0" xr:uid="{40DEA659-BA43-47BC-8FCB-21F0C9235E08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No se recomienda la sombra en regiones de alta nubosidad.</t>
        </r>
      </text>
    </comment>
    <comment ref="M4" authorId="0" shapeId="0" xr:uid="{8459A6D0-322F-45FE-BF57-CA49C27D73D1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Requerimiento Mínimo</t>
        </r>
      </text>
    </comment>
    <comment ref="V4" authorId="0" shapeId="0" xr:uid="{82900822-A34F-49C6-837D-9F8A5BE92CB3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Requerimiento Mínimo</t>
        </r>
      </text>
    </comment>
    <comment ref="M5" authorId="0" shapeId="0" xr:uid="{629A2732-42B3-490F-849E-4BE842F29EED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Requerimiento Mínimo</t>
        </r>
      </text>
    </comment>
    <comment ref="L21" authorId="0" shapeId="0" xr:uid="{0891F7EC-FA8F-4F03-BD69-AC929C05E177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Aporte común de </t>
        </r>
        <r>
          <rPr>
            <b/>
            <sz val="9"/>
            <color indexed="81"/>
            <rFont val="Tahoma"/>
            <family val="2"/>
          </rPr>
          <t>P</t>
        </r>
        <r>
          <rPr>
            <b/>
            <vertAlign val="subscript"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Tahoma"/>
            <family val="2"/>
          </rPr>
          <t>O</t>
        </r>
        <r>
          <rPr>
            <b/>
            <vertAlign val="subscript"/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Fórmulas Completas</t>
        </r>
        <r>
          <rPr>
            <sz val="9"/>
            <color indexed="81"/>
            <rFont val="Tahoma"/>
            <family val="2"/>
          </rPr>
          <t xml:space="preserve"> según el contenido de 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Tahoma"/>
            <family val="2"/>
          </rPr>
          <t>Cont (N)</t>
        </r>
        <r>
          <rPr>
            <sz val="9"/>
            <color indexed="81"/>
            <rFont val="Tahoma"/>
            <family val="2"/>
          </rPr>
          <t xml:space="preserve">     </t>
        </r>
        <r>
          <rPr>
            <b/>
            <sz val="9"/>
            <color indexed="81"/>
            <rFont val="Tahoma"/>
            <family val="2"/>
          </rPr>
          <t>Cont (P</t>
        </r>
        <r>
          <rPr>
            <b/>
            <vertAlign val="subscript"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Tahoma"/>
            <family val="2"/>
          </rPr>
          <t>O</t>
        </r>
        <r>
          <rPr>
            <b/>
            <vertAlign val="subscript"/>
            <sz val="9"/>
            <color indexed="81"/>
            <rFont val="Tahoma"/>
            <family val="2"/>
          </rPr>
          <t>5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 xml:space="preserve">
  15%               3%
  17%               6%
  18%               5%
  19%               4%</t>
        </r>
      </text>
    </comment>
    <comment ref="Q33" authorId="0" shapeId="0" xr:uid="{F98025D8-AA53-4C31-881C-3F078ABCDEA7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Seleccione "Guía de Productores".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</author>
    <author>Marco Araya Molina</author>
  </authors>
  <commentList>
    <comment ref="O5" authorId="0" shapeId="0" xr:uid="{D1491788-F248-4072-AD49-B3159AA227CF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&gt;= 3 chapeas al año.</t>
        </r>
      </text>
    </comment>
    <comment ref="Q8" authorId="0" shapeId="0" xr:uid="{63F3D6D4-0E90-485A-BD64-48FFFDFCF50B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&gt;= 3 Chapeas al Año.</t>
        </r>
      </text>
    </comment>
    <comment ref="W13" authorId="1" shapeId="0" xr:uid="{867986CD-6994-4E76-801D-D768B4697E35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De acción Regulador de pH:
- pH Fic 15 SL
- Cosmo Aguas 100 SP
- Drexel Pas 80 SL</t>
        </r>
      </text>
    </comment>
    <comment ref="Y13" authorId="1" shapeId="0" xr:uid="{7BDC53FB-F638-4D13-8D63-BCEE230C9FA5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La dosis es por 200 L de mezcla, según coadyuvante elegido.</t>
        </r>
      </text>
    </comment>
    <comment ref="G14" authorId="1" shapeId="0" xr:uid="{D7F59CD7-4369-41C2-9495-04F00EC5FB57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De acción surfactante:
- Imbirex CR 80 SL
- Cosmo- In d 27 SL
- Limonoil 15 SL
- Break Thru 100 SL
- Drexel Pas 80 SL</t>
        </r>
      </text>
    </comment>
    <comment ref="I14" authorId="1" shapeId="0" xr:uid="{42C7A5B3-4FFC-48D8-9D88-678777E67674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La dosis es por 200 L de mezcla, según coadyuvante elegido.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</author>
    <author>Marco Araya Molina</author>
  </authors>
  <commentList>
    <comment ref="C5" authorId="0" shapeId="0" xr:uid="{760DD9CA-01D8-4672-8D8D-C0564AFCD0F6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&gt;= 3 Arreglos al año.</t>
        </r>
      </text>
    </comment>
    <comment ref="Q5" authorId="0" shapeId="0" xr:uid="{A3D50591-F40C-403C-AF23-9A624F886F12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3 a 4 Deshijas al año.</t>
        </r>
      </text>
    </comment>
    <comment ref="S8" authorId="0" shapeId="0" xr:uid="{7BB4FAF0-F971-4A7A-A095-6AF6D7506A6A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3 a 4 Deshijas al Año.</t>
        </r>
      </text>
    </comment>
    <comment ref="D12" authorId="0" shapeId="0" xr:uid="{AFC3386F-3DB4-48A6-990A-4EBE02AC62D8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Sombra nueva, requiere menor tiempo.</t>
        </r>
      </text>
    </comment>
    <comment ref="I14" authorId="1" shapeId="0" xr:uid="{AB16B4DE-CA7D-403A-A1E4-9B78DBF711D8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De acción surfactante:
- Imbirex CR 80 SL
- Cosmo- In d 27 SL
- Limonoil 15 SL
- Break Thru 100 SL
- Drexel Pas 80 SL</t>
        </r>
      </text>
    </comment>
    <comment ref="K14" authorId="1" shapeId="0" xr:uid="{6E2D5141-4E15-4937-8B8D-33C0F35A4181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La dosis es por 200 L de mezcla, según coadyuvante elegido.</t>
        </r>
      </text>
    </comment>
    <comment ref="Y15" authorId="1" shapeId="0" xr:uid="{731380A7-09DB-44BF-BF87-260309E0D590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De acción Regulador de pH:
- pH Fic 15 SL
- Cosmo Aguas 100 SP
- Drexel Pas 80 SL</t>
        </r>
      </text>
    </comment>
    <comment ref="AA15" authorId="1" shapeId="0" xr:uid="{DDAB90A5-7106-4B0F-B0C5-26E76945ECC6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La dosis es por 200 L de mezcla, según coadyuvante elegido.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</authors>
  <commentList>
    <comment ref="L1" authorId="0" shapeId="0" xr:uid="{4BC4B719-2180-4AEC-92EC-E55A7216003F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El ajuste se realiza en la hoja denominada "</t>
        </r>
        <r>
          <rPr>
            <b/>
            <sz val="9"/>
            <color indexed="81"/>
            <rFont val="Tahoma"/>
            <family val="2"/>
          </rPr>
          <t>FICHA</t>
        </r>
        <r>
          <rPr>
            <sz val="9"/>
            <color indexed="81"/>
            <rFont val="Tahoma"/>
            <family val="2"/>
          </rPr>
          <t>".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</authors>
  <commentList>
    <comment ref="B27" authorId="0" shapeId="0" xr:uid="{5C2FA27B-2F07-4827-BC1A-5B663B0D2AB6}">
      <text>
        <r>
          <rPr>
            <b/>
            <sz val="9"/>
            <color indexed="81"/>
            <rFont val="Tahoma"/>
            <charset val="1"/>
          </rPr>
          <t>Marco Araya Molina:</t>
        </r>
        <r>
          <rPr>
            <sz val="9"/>
            <color indexed="81"/>
            <rFont val="Tahoma"/>
            <charset val="1"/>
          </rPr>
          <t xml:space="preserve">
Actualizar último criterio</t>
        </r>
      </text>
    </comment>
  </commentList>
</comments>
</file>

<file path=xl/sharedStrings.xml><?xml version="1.0" encoding="utf-8"?>
<sst xmlns="http://schemas.openxmlformats.org/spreadsheetml/2006/main" count="1604" uniqueCount="509">
  <si>
    <t>Cantidad</t>
  </si>
  <si>
    <t>Costo</t>
  </si>
  <si>
    <t>Costo Total</t>
  </si>
  <si>
    <t>Cargas Sociales:</t>
  </si>
  <si>
    <t>Reposición plantas:</t>
  </si>
  <si>
    <t>Unidad</t>
  </si>
  <si>
    <t>Concepto</t>
  </si>
  <si>
    <t>Bomba de espalda</t>
  </si>
  <si>
    <t>Pala ancha</t>
  </si>
  <si>
    <t>Pala carrilera</t>
  </si>
  <si>
    <t>Palín</t>
  </si>
  <si>
    <t>Macana</t>
  </si>
  <si>
    <t>Crédito Financiero / Tabla de Amortización</t>
  </si>
  <si>
    <t>Labores de Cultivo</t>
  </si>
  <si>
    <t>Año</t>
  </si>
  <si>
    <t>Intereses</t>
  </si>
  <si>
    <t>Saldo</t>
  </si>
  <si>
    <t>Financiamiento</t>
  </si>
  <si>
    <t>Mano de Obra</t>
  </si>
  <si>
    <t>MCRC</t>
  </si>
  <si>
    <t>Coadyuvante</t>
  </si>
  <si>
    <t>Año 1</t>
  </si>
  <si>
    <t>Año 2</t>
  </si>
  <si>
    <t>Acumulado</t>
  </si>
  <si>
    <t>Monto</t>
  </si>
  <si>
    <t>Porc.</t>
  </si>
  <si>
    <t>Almácigo</t>
  </si>
  <si>
    <t>Agroquímicos</t>
  </si>
  <si>
    <t>Transp.Materiales</t>
  </si>
  <si>
    <r>
      <t xml:space="preserve">Primer y Segundo Año </t>
    </r>
    <r>
      <rPr>
        <b/>
        <u val="double"/>
        <sz val="16"/>
        <rFont val="Garamond"/>
        <family val="1"/>
      </rPr>
      <t>Acumulados</t>
    </r>
  </si>
  <si>
    <t>Atomizaciones</t>
  </si>
  <si>
    <t>Insumos</t>
  </si>
  <si>
    <t>Otros Costos</t>
  </si>
  <si>
    <t>Sacho</t>
  </si>
  <si>
    <t>Densidad (ptas/ha)</t>
  </si>
  <si>
    <r>
      <t>Transporte</t>
    </r>
    <r>
      <rPr>
        <b/>
        <i/>
        <sz val="10"/>
        <rFont val="Arial"/>
        <family val="2"/>
      </rPr>
      <t>:</t>
    </r>
  </si>
  <si>
    <r>
      <t>Fertilizantes</t>
    </r>
    <r>
      <rPr>
        <b/>
        <i/>
        <sz val="10"/>
        <rFont val="Arial"/>
        <family val="2"/>
      </rPr>
      <t>:</t>
    </r>
  </si>
  <si>
    <r>
      <t>Atomizaciones</t>
    </r>
    <r>
      <rPr>
        <b/>
        <i/>
        <sz val="10"/>
        <rFont val="Arial"/>
        <family val="2"/>
      </rPr>
      <t>:</t>
    </r>
  </si>
  <si>
    <t>Herbicidas:</t>
  </si>
  <si>
    <t>Glifosato (L/ha)</t>
  </si>
  <si>
    <r>
      <t xml:space="preserve">Valor </t>
    </r>
    <r>
      <rPr>
        <b/>
        <sz val="10"/>
        <rFont val="Arial"/>
        <family val="2"/>
      </rPr>
      <t xml:space="preserve">de </t>
    </r>
    <r>
      <rPr>
        <b/>
        <u/>
        <sz val="10"/>
        <rFont val="Arial"/>
        <family val="2"/>
      </rPr>
      <t>Activos</t>
    </r>
    <r>
      <rPr>
        <b/>
        <sz val="10"/>
        <rFont val="Arial"/>
        <family val="2"/>
      </rPr>
      <t>:</t>
    </r>
  </si>
  <si>
    <r>
      <t>Vida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Útil</t>
    </r>
    <r>
      <rPr>
        <b/>
        <sz val="10"/>
        <rFont val="Arial"/>
        <family val="2"/>
      </rPr>
      <t xml:space="preserve"> de </t>
    </r>
    <r>
      <rPr>
        <b/>
        <u/>
        <sz val="10"/>
        <rFont val="Arial"/>
        <family val="2"/>
      </rPr>
      <t>Activos</t>
    </r>
    <r>
      <rPr>
        <b/>
        <sz val="10"/>
        <rFont val="Arial"/>
        <family val="2"/>
      </rPr>
      <t>:</t>
    </r>
  </si>
  <si>
    <t>Equipo Agrícola (años)</t>
  </si>
  <si>
    <t>Mantenimiento (activos)</t>
  </si>
  <si>
    <t>Fórmula de Siembra</t>
  </si>
  <si>
    <t>Fórmula Completa</t>
  </si>
  <si>
    <t>Fórmula Nitrogenada</t>
  </si>
  <si>
    <t>und/ha</t>
  </si>
  <si>
    <t>Casa para recolectores</t>
  </si>
  <si>
    <t>-</t>
  </si>
  <si>
    <t>Machete</t>
  </si>
  <si>
    <t>Sierra de arco de poda</t>
  </si>
  <si>
    <t>Tijera de deshija</t>
  </si>
  <si>
    <t>Martillo</t>
  </si>
  <si>
    <t>Capa completa</t>
  </si>
  <si>
    <t>Gafas</t>
  </si>
  <si>
    <t>Botas de hule (pares)</t>
  </si>
  <si>
    <t>Guantes (pares)</t>
  </si>
  <si>
    <t>Mascarilla</t>
  </si>
  <si>
    <t>Rubros financiados</t>
  </si>
  <si>
    <t>Costo-Proyecto</t>
  </si>
  <si>
    <t>Financ. Total</t>
  </si>
  <si>
    <t>Tasa Interés:</t>
  </si>
  <si>
    <t>Plazos:</t>
  </si>
  <si>
    <t>Crédito</t>
  </si>
  <si>
    <t>Gracia</t>
  </si>
  <si>
    <t>Desembol.</t>
  </si>
  <si>
    <t>Amortizac.</t>
  </si>
  <si>
    <t>Materiales y Transporte</t>
  </si>
  <si>
    <t>FICHA TÉCNICA CAFETALERA NACIONAL</t>
  </si>
  <si>
    <t>RENOVACIÓN DE CULTIVO DE CAFÉ</t>
  </si>
  <si>
    <t>Total</t>
  </si>
  <si>
    <t>Sub-Total</t>
  </si>
  <si>
    <t>Rubro / Descripción</t>
  </si>
  <si>
    <t>Siembra de café</t>
  </si>
  <si>
    <t xml:space="preserve">Siembra de sombra </t>
  </si>
  <si>
    <t xml:space="preserve">Siembra de rompevientos </t>
  </si>
  <si>
    <t xml:space="preserve">Aplicación de fertilizantes </t>
  </si>
  <si>
    <t>Control manual de malezas</t>
  </si>
  <si>
    <t>Preparación del terreno</t>
  </si>
  <si>
    <t>Arreglo de sombra</t>
  </si>
  <si>
    <t>Mantenimiento de finca</t>
  </si>
  <si>
    <t>Reposición de plantas</t>
  </si>
  <si>
    <t>Labores</t>
  </si>
  <si>
    <t>Materiales</t>
  </si>
  <si>
    <t>Costos Directos</t>
  </si>
  <si>
    <t>Costos</t>
  </si>
  <si>
    <t>Indirectos</t>
  </si>
  <si>
    <t>Cargas Sociales</t>
  </si>
  <si>
    <t>Costo del Paquete Tecnológico:</t>
  </si>
  <si>
    <t>Deprec.y Mantenim.</t>
  </si>
  <si>
    <t>Transporte de materiales</t>
  </si>
  <si>
    <t>Impuesto bienes inmueb.</t>
  </si>
  <si>
    <t>Servicios públicos</t>
  </si>
  <si>
    <t>Costo Total de Renovación:</t>
  </si>
  <si>
    <t>Aplicación de fertilizantes</t>
  </si>
  <si>
    <t>Aplicación de herbicidas</t>
  </si>
  <si>
    <t>Primer Año</t>
  </si>
  <si>
    <t>Segundo Año</t>
  </si>
  <si>
    <t>Coeficiente</t>
  </si>
  <si>
    <t>Rubro de Costo</t>
  </si>
  <si>
    <t>Técnico</t>
  </si>
  <si>
    <t>Técnica</t>
  </si>
  <si>
    <t>Unitario</t>
  </si>
  <si>
    <t>Mano obra:</t>
  </si>
  <si>
    <t>Labores de cultivo</t>
  </si>
  <si>
    <t>Cargas sociales</t>
  </si>
  <si>
    <t>%</t>
  </si>
  <si>
    <t>Almácigo (resiembra)</t>
  </si>
  <si>
    <t>ptas/ha</t>
  </si>
  <si>
    <t>Almácigo (siembra)</t>
  </si>
  <si>
    <t>kg/ha</t>
  </si>
  <si>
    <t>Otros costos indirectos:</t>
  </si>
  <si>
    <t>Depreciación</t>
  </si>
  <si>
    <t>Mantenimiento</t>
  </si>
  <si>
    <t>Gastos administrativos</t>
  </si>
  <si>
    <t>L/ha</t>
  </si>
  <si>
    <t>Transporte de Abonos</t>
  </si>
  <si>
    <t>Transporte de Almácigo</t>
  </si>
  <si>
    <t>Activo Agrícola</t>
  </si>
  <si>
    <t>Inventario</t>
  </si>
  <si>
    <t>Bodega de insumos</t>
  </si>
  <si>
    <t>Carretas</t>
  </si>
  <si>
    <t>Motosierra</t>
  </si>
  <si>
    <t>Motoguadaña</t>
  </si>
  <si>
    <t>Alicate (diablillo)</t>
  </si>
  <si>
    <r>
      <t>Inventario</t>
    </r>
    <r>
      <rPr>
        <b/>
        <sz val="18"/>
        <rFont val="Bookman Old Style"/>
        <family val="1"/>
      </rPr>
      <t xml:space="preserve"> </t>
    </r>
    <r>
      <rPr>
        <b/>
        <u/>
        <sz val="18"/>
        <rFont val="Bookman Old Style"/>
        <family val="1"/>
      </rPr>
      <t>Básico</t>
    </r>
    <r>
      <rPr>
        <b/>
        <sz val="18"/>
        <rFont val="Bookman Old Style"/>
        <family val="1"/>
      </rPr>
      <t xml:space="preserve"> de Activos </t>
    </r>
    <r>
      <rPr>
        <b/>
        <vertAlign val="superscript"/>
        <sz val="18"/>
        <rFont val="Bookman Old Style"/>
        <family val="1"/>
      </rPr>
      <t>a</t>
    </r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</si>
  <si>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/ha</t>
    </r>
  </si>
  <si>
    <r>
      <t>2.- Medios de Transporte</t>
    </r>
    <r>
      <rPr>
        <b/>
        <i/>
        <vertAlign val="superscript"/>
        <sz val="11"/>
        <rFont val="Arial"/>
        <family val="2"/>
      </rPr>
      <t>c</t>
    </r>
    <r>
      <rPr>
        <b/>
        <i/>
        <sz val="11"/>
        <rFont val="Arial"/>
        <family val="2"/>
      </rPr>
      <t>:</t>
    </r>
  </si>
  <si>
    <r>
      <t>3.- Equipo Agrícola</t>
    </r>
    <r>
      <rPr>
        <b/>
        <i/>
        <vertAlign val="superscript"/>
        <sz val="11"/>
        <rFont val="Arial"/>
        <family val="2"/>
      </rPr>
      <t>d</t>
    </r>
    <r>
      <rPr>
        <b/>
        <i/>
        <sz val="11"/>
        <rFont val="Arial"/>
        <family val="2"/>
      </rPr>
      <t>:</t>
    </r>
  </si>
  <si>
    <r>
      <t>Fuentes:</t>
    </r>
    <r>
      <rPr>
        <sz val="8"/>
        <rFont val="Arial"/>
        <family val="2"/>
      </rPr>
      <t xml:space="preserve"> e-clasificados, Ministerio de Hacienda, Almacenes de Insumos, INEC, ICAFE, et all.</t>
    </r>
  </si>
  <si>
    <t>M&amp;R</t>
  </si>
  <si>
    <t>Medios de Transporte</t>
  </si>
  <si>
    <t>Transporte de insumos:</t>
  </si>
  <si>
    <t>Insumos agrícolas:</t>
  </si>
  <si>
    <r>
      <t>4.- Herramientas</t>
    </r>
    <r>
      <rPr>
        <b/>
        <i/>
        <vertAlign val="superscript"/>
        <sz val="11"/>
        <rFont val="Arial"/>
        <family val="2"/>
      </rPr>
      <t>d</t>
    </r>
    <r>
      <rPr>
        <b/>
        <i/>
        <sz val="11"/>
        <rFont val="Arial"/>
        <family val="2"/>
      </rPr>
      <t>:</t>
    </r>
  </si>
  <si>
    <t>Equipo Agricola</t>
  </si>
  <si>
    <t>Herramientas Agricolas</t>
  </si>
  <si>
    <t>CRC/pta</t>
  </si>
  <si>
    <t>CRC/kg</t>
  </si>
  <si>
    <t>CRC/L</t>
  </si>
  <si>
    <t>(CRC/ha)</t>
  </si>
  <si>
    <t>Estructura de Costos de Renovación de Café</t>
  </si>
  <si>
    <t>Recomendación Técnica Nacional</t>
  </si>
  <si>
    <t>Primer Año - Datos CRC/ha</t>
  </si>
  <si>
    <t>CRC/ha</t>
  </si>
  <si>
    <t>Preparación del terreno:</t>
  </si>
  <si>
    <t>Costo Programa Agrícola (CRC):</t>
  </si>
  <si>
    <t>Segundo Año - Datos CRC/ha</t>
  </si>
  <si>
    <t>Costo Total de Renovación - Primer Año - (CRC)</t>
  </si>
  <si>
    <t>Gastos Administrativos</t>
  </si>
  <si>
    <t>Limpieza del terreno *</t>
  </si>
  <si>
    <t>Marcado T. y Cons.OCS **</t>
  </si>
  <si>
    <t>Labor de Cultivo</t>
  </si>
  <si>
    <t>Requerimiento (hh/ha)</t>
  </si>
  <si>
    <t>Jornal: Labor-Día (horas)</t>
  </si>
  <si>
    <t>Mano de Obra (hh/ha)</t>
  </si>
  <si>
    <t>hh/ha</t>
  </si>
  <si>
    <t>Horas Hombre</t>
  </si>
  <si>
    <t>CRC/hh</t>
  </si>
  <si>
    <t>CRC/45 kg</t>
  </si>
  <si>
    <t>Fuente: Instituto del Café de Costa Rica (ICAFE).</t>
  </si>
  <si>
    <t>Almácigo (CRC/pta)</t>
  </si>
  <si>
    <t>Tipo-Cambio (CRC/USD)</t>
  </si>
  <si>
    <t>Servicios Públicos</t>
  </si>
  <si>
    <t>CRC/und</t>
  </si>
  <si>
    <t>Valor (CRC/ha)</t>
  </si>
  <si>
    <t>Costo de Renovación del Cultivo de Café</t>
  </si>
  <si>
    <t>(USD/ha)</t>
  </si>
  <si>
    <t>Administrativos</t>
  </si>
  <si>
    <t>USD/ha*</t>
  </si>
  <si>
    <t>Costo M-Obra (CRC/hh)</t>
  </si>
  <si>
    <t>F.de Siembra (kg/ha)</t>
  </si>
  <si>
    <t>F. Completa (kg/ha)</t>
  </si>
  <si>
    <t>F. Nitrogenada (kg/ha)</t>
  </si>
  <si>
    <t>Construcciones (CRC/ha)</t>
  </si>
  <si>
    <t>Medios-Transp. (CRC/ha)</t>
  </si>
  <si>
    <t>Equipo Agricola (CRC/ha)</t>
  </si>
  <si>
    <t>Herram.-Agric. (CRC/ha)</t>
  </si>
  <si>
    <r>
      <t>1.- Construcciones</t>
    </r>
    <r>
      <rPr>
        <b/>
        <i/>
        <vertAlign val="superscript"/>
        <sz val="11"/>
        <rFont val="Arial"/>
        <family val="2"/>
      </rPr>
      <t>b</t>
    </r>
    <r>
      <rPr>
        <b/>
        <i/>
        <sz val="11"/>
        <rFont val="Arial"/>
        <family val="2"/>
      </rPr>
      <t>:</t>
    </r>
  </si>
  <si>
    <r>
      <t>Costos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Admin</t>
    </r>
    <r>
      <rPr>
        <b/>
        <sz val="10"/>
        <rFont val="Arial"/>
        <family val="2"/>
      </rPr>
      <t>.(CRC/ha)</t>
    </r>
  </si>
  <si>
    <t>Valor</t>
  </si>
  <si>
    <t>Construcciones</t>
  </si>
  <si>
    <t>Costo Total de Renovación - Segundo Año - (CRC)</t>
  </si>
  <si>
    <r>
      <t xml:space="preserve">Estructura de </t>
    </r>
    <r>
      <rPr>
        <b/>
        <u/>
        <sz val="18"/>
        <rFont val="Bookman Old Style"/>
        <family val="1"/>
      </rPr>
      <t>Costos</t>
    </r>
    <r>
      <rPr>
        <b/>
        <sz val="18"/>
        <rFont val="Bookman Old Style"/>
        <family val="1"/>
      </rPr>
      <t xml:space="preserve"> de </t>
    </r>
    <r>
      <rPr>
        <b/>
        <u val="double"/>
        <sz val="18"/>
        <rFont val="Bookman Old Style"/>
        <family val="1"/>
      </rPr>
      <t>Renovación</t>
    </r>
  </si>
  <si>
    <t>Valor Total del Inventario (CRC)</t>
  </si>
  <si>
    <t>Construcciones (años)</t>
  </si>
  <si>
    <t>**/ Marcado del terreno y construcción de obras</t>
  </si>
  <si>
    <t xml:space="preserve">    de conservación de suelos.</t>
  </si>
  <si>
    <t>*/ Corta y pica de plantas.  No incluye el costeo de la</t>
  </si>
  <si>
    <t xml:space="preserve">    arranca de troncos.</t>
  </si>
  <si>
    <t>(USD*/ha)</t>
  </si>
  <si>
    <t>USD*/ha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</si>
  <si>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</si>
  <si>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</si>
  <si>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</si>
  <si>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</si>
  <si>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</si>
  <si>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</si>
  <si>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</si>
  <si>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</si>
  <si>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</si>
  <si>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</si>
  <si>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</si>
  <si>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</si>
  <si>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Preparación del Terreno</t>
  </si>
  <si>
    <t>Siembra de Sombra</t>
  </si>
  <si>
    <t>Siembra de Rompevientos</t>
  </si>
  <si>
    <t>Siembra de Café</t>
  </si>
  <si>
    <t>Fertilización</t>
  </si>
  <si>
    <t>Control Manual de Malezas</t>
  </si>
  <si>
    <t>Aplicación de Herbicidas</t>
  </si>
  <si>
    <t>Tipo Cambio (CRC/USD)</t>
  </si>
  <si>
    <t>Salarios Pagados (CRC)</t>
  </si>
  <si>
    <t>Insumos (und/ha)</t>
  </si>
  <si>
    <t>Pago de Insumos (CRC)</t>
  </si>
  <si>
    <t>Pago de la Mano de Obra (Salarios)</t>
  </si>
  <si>
    <t>Pago de los Insumos (Montos)</t>
  </si>
  <si>
    <t>Depreciación (activos)</t>
  </si>
  <si>
    <t>Total Indirectos</t>
  </si>
  <si>
    <t>Total s/Cargas (USD)</t>
  </si>
  <si>
    <t>Transporte</t>
  </si>
  <si>
    <t>Costo Indirecto</t>
  </si>
  <si>
    <t>Totales</t>
  </si>
  <si>
    <t>*/ Tipo de Cambio Promedio de la Cosecha [BCCR]- CRC/USD:</t>
  </si>
  <si>
    <t>Mantenimiento O.Cons.S.</t>
  </si>
  <si>
    <t>Siembra</t>
  </si>
  <si>
    <t>Actualizar =&gt;</t>
  </si>
  <si>
    <t>Siembra de café ***</t>
  </si>
  <si>
    <t>Encalado</t>
  </si>
  <si>
    <t>Correc.de Acidez (kg/ha)</t>
  </si>
  <si>
    <t>Triazol (L/ha)</t>
  </si>
  <si>
    <t>Productividad (fan/ha)</t>
  </si>
  <si>
    <t>a</t>
  </si>
  <si>
    <t>b</t>
  </si>
  <si>
    <t>Mantenim.</t>
  </si>
  <si>
    <t>Activos</t>
  </si>
  <si>
    <t>Fruta (CRC/fan)</t>
  </si>
  <si>
    <t>Corrector de acidez</t>
  </si>
  <si>
    <t>Recolección café fruta</t>
  </si>
  <si>
    <t>Cosecha</t>
  </si>
  <si>
    <t>Transporte café fruta</t>
  </si>
  <si>
    <t>Costo de Inversión (CRC/ha)</t>
  </si>
  <si>
    <t>Árboles (sombra)</t>
  </si>
  <si>
    <t>árb/ha</t>
  </si>
  <si>
    <t>CRC/árb</t>
  </si>
  <si>
    <t>Recolección (CRC/fan):</t>
  </si>
  <si>
    <t>fan/ha</t>
  </si>
  <si>
    <t>CRC/fan</t>
  </si>
  <si>
    <t>Recolección de café fruta</t>
  </si>
  <si>
    <t>Transporte de café fruta</t>
  </si>
  <si>
    <t>Costos por Hectárea</t>
  </si>
  <si>
    <t>Costo Total de Renovación</t>
  </si>
  <si>
    <t>Costo Efectivo de Renovación</t>
  </si>
  <si>
    <t>Costo Efectivo de Renovación de Café (CRC/ha)</t>
  </si>
  <si>
    <t>Aplicación de Enmiendas</t>
  </si>
  <si>
    <t>C &amp; Garantías Sociales</t>
  </si>
  <si>
    <t>Total Mano Obra (CRC)</t>
  </si>
  <si>
    <t>Costo Total (CRC)</t>
  </si>
  <si>
    <t>Compra - Venta (BCCR)</t>
  </si>
  <si>
    <t>RENOVACIÓN DE CAFÉ, PRIMER AÑO</t>
  </si>
  <si>
    <t>RENOVACIÓN DE CAFÉ, SEGUNDO AÑO</t>
  </si>
  <si>
    <t>Cosecha &amp; Transporte</t>
  </si>
  <si>
    <t>Costo Total (USD)</t>
  </si>
  <si>
    <t>DENSIDAD DE SIEMBRA</t>
  </si>
  <si>
    <t>USO de SOMBRA</t>
  </si>
  <si>
    <t>Distancia entre:</t>
  </si>
  <si>
    <t>Logarít.</t>
  </si>
  <si>
    <t>HILERAS</t>
  </si>
  <si>
    <t>m</t>
  </si>
  <si>
    <t>PLANTAS</t>
  </si>
  <si>
    <r>
      <t>Requerimiento (</t>
    </r>
    <r>
      <rPr>
        <b/>
        <sz val="14"/>
        <color rgb="FF33CC33"/>
        <rFont val="Avenir Next LT Pro"/>
        <family val="2"/>
      </rPr>
      <t>N</t>
    </r>
    <r>
      <rPr>
        <sz val="14"/>
        <rFont val="Avenir Next LT Pro"/>
        <family val="2"/>
      </rPr>
      <t>)</t>
    </r>
  </si>
  <si>
    <t>Sac45/ha</t>
  </si>
  <si>
    <t>DENSIDAD</t>
  </si>
  <si>
    <t>M-Obra</t>
  </si>
  <si>
    <t>WEB</t>
  </si>
  <si>
    <t>Pag. 30</t>
  </si>
  <si>
    <t>Abono</t>
  </si>
  <si>
    <t>Und.</t>
  </si>
  <si>
    <t>1ra</t>
  </si>
  <si>
    <t>2da</t>
  </si>
  <si>
    <t>F.C.</t>
  </si>
  <si>
    <t>Fórm.Completa</t>
  </si>
  <si>
    <t>g/planta</t>
  </si>
  <si>
    <r>
      <t>Aporte (</t>
    </r>
    <r>
      <rPr>
        <b/>
        <sz val="14"/>
        <color rgb="FF33CC33"/>
        <rFont val="Avenir Next LT Pro"/>
        <family val="2"/>
      </rPr>
      <t>N</t>
    </r>
    <r>
      <rPr>
        <sz val="14"/>
        <rFont val="Avenir Next LT Pro"/>
        <family val="2"/>
      </rPr>
      <t>)</t>
    </r>
  </si>
  <si>
    <t>Porcent.</t>
  </si>
  <si>
    <t>Pag. 8-9</t>
  </si>
  <si>
    <t>Precio</t>
  </si>
  <si>
    <t>CRC/Sac45</t>
  </si>
  <si>
    <t>3ra</t>
  </si>
  <si>
    <t>TECNOLOGÍA</t>
  </si>
  <si>
    <t>CAFETALERA</t>
  </si>
  <si>
    <t>Usuario:</t>
  </si>
  <si>
    <t>Pag. 72-73</t>
  </si>
  <si>
    <t>FERTILIZACIÓN AL ESTABLECER LA PLANTACIÓN (AÑO 1)</t>
  </si>
  <si>
    <t>F.S.</t>
  </si>
  <si>
    <t>Fórm. Siembra</t>
  </si>
  <si>
    <r>
      <t>Requerimiento (</t>
    </r>
    <r>
      <rPr>
        <b/>
        <sz val="14"/>
        <color rgb="FF0000FF"/>
        <rFont val="Avenir Next LT Pro"/>
        <family val="2"/>
      </rPr>
      <t>P</t>
    </r>
    <r>
      <rPr>
        <b/>
        <vertAlign val="subscript"/>
        <sz val="14"/>
        <color rgb="FF0000FF"/>
        <rFont val="Avenir Next LT Pro"/>
        <family val="2"/>
      </rPr>
      <t>2</t>
    </r>
    <r>
      <rPr>
        <b/>
        <sz val="14"/>
        <color rgb="FF0000FF"/>
        <rFont val="Avenir Next LT Pro"/>
        <family val="2"/>
      </rPr>
      <t>O</t>
    </r>
    <r>
      <rPr>
        <b/>
        <vertAlign val="subscript"/>
        <sz val="14"/>
        <color rgb="FF0000FF"/>
        <rFont val="Avenir Next LT Pro"/>
        <family val="2"/>
      </rPr>
      <t>5</t>
    </r>
    <r>
      <rPr>
        <sz val="14"/>
        <rFont val="Avenir Next LT Pro"/>
        <family val="2"/>
      </rPr>
      <t>)</t>
    </r>
  </si>
  <si>
    <r>
      <t>Aporte (</t>
    </r>
    <r>
      <rPr>
        <b/>
        <sz val="14"/>
        <color rgb="FF0000FF"/>
        <rFont val="Avenir Next LT Pro"/>
        <family val="2"/>
      </rPr>
      <t>P</t>
    </r>
    <r>
      <rPr>
        <b/>
        <vertAlign val="subscript"/>
        <sz val="14"/>
        <color rgb="FF0000FF"/>
        <rFont val="Avenir Next LT Pro"/>
        <family val="2"/>
      </rPr>
      <t>2</t>
    </r>
    <r>
      <rPr>
        <b/>
        <sz val="14"/>
        <color rgb="FF0000FF"/>
        <rFont val="Avenir Next LT Pro"/>
        <family val="2"/>
      </rPr>
      <t>O</t>
    </r>
    <r>
      <rPr>
        <b/>
        <vertAlign val="subscript"/>
        <sz val="14"/>
        <color rgb="FF0000FF"/>
        <rFont val="Avenir Next LT Pro"/>
        <family val="2"/>
      </rPr>
      <t>5</t>
    </r>
    <r>
      <rPr>
        <sz val="14"/>
        <rFont val="Avenir Next LT Pro"/>
        <family val="2"/>
      </rPr>
      <t>)</t>
    </r>
  </si>
  <si>
    <t>4ta</t>
  </si>
  <si>
    <t>F.N.</t>
  </si>
  <si>
    <t>Fórm.Nitrogen.</t>
  </si>
  <si>
    <t>5ra</t>
  </si>
  <si>
    <t>FERTILIZACIÓN PARA DESARROLLO DE PLANTACIÓN (AÑO 2)</t>
  </si>
  <si>
    <t>Cont.(P)</t>
  </si>
  <si>
    <t>Cont.(N)</t>
  </si>
  <si>
    <t>CONTROL QUÍMICO DE MALEZAS</t>
  </si>
  <si>
    <t>NÚMERO</t>
  </si>
  <si>
    <t>Potencial</t>
  </si>
  <si>
    <t>Cuadrát.</t>
  </si>
  <si>
    <t>ARREGLOS</t>
  </si>
  <si>
    <t>CHAPEAS</t>
  </si>
  <si>
    <t>c</t>
  </si>
  <si>
    <t>Código</t>
  </si>
  <si>
    <t>PROM</t>
  </si>
  <si>
    <t># Apl.</t>
  </si>
  <si>
    <t>L/apl</t>
  </si>
  <si>
    <t>hh/200 L</t>
  </si>
  <si>
    <t>Datos</t>
  </si>
  <si>
    <t># Arreglos</t>
  </si>
  <si>
    <t># Chapeas</t>
  </si>
  <si>
    <t>Herbicida</t>
  </si>
  <si>
    <t>MO (hh/ha)</t>
  </si>
  <si>
    <t>Dosis</t>
  </si>
  <si>
    <t>Frec.</t>
  </si>
  <si>
    <t>Total (Und.)</t>
  </si>
  <si>
    <t>hh/arreglo</t>
  </si>
  <si>
    <t>Amistar 50 WG</t>
  </si>
  <si>
    <t>kg</t>
  </si>
  <si>
    <t>hh/Chap.</t>
  </si>
  <si>
    <t>Atemi 10 SL</t>
  </si>
  <si>
    <t>L</t>
  </si>
  <si>
    <t>Glifosato 35.6 SL</t>
  </si>
  <si>
    <t>Equipo</t>
  </si>
  <si>
    <t>Pag. 42</t>
  </si>
  <si>
    <t>Cyprosol 10 SL</t>
  </si>
  <si>
    <t>Pag. 42 a 45</t>
  </si>
  <si>
    <t>Und./ha</t>
  </si>
  <si>
    <t>Hidróxido de Cobre</t>
  </si>
  <si>
    <t>Pag. 13</t>
  </si>
  <si>
    <t>Mistral 25 SC</t>
  </si>
  <si>
    <t>Pag. 12</t>
  </si>
  <si>
    <t>Pag. 17</t>
  </si>
  <si>
    <t>Opera 18.3 SE</t>
  </si>
  <si>
    <t>Sulfato de Cobre</t>
  </si>
  <si>
    <t>kg/L</t>
  </si>
  <si>
    <t>Agua</t>
  </si>
  <si>
    <t>Aplicac.</t>
  </si>
  <si>
    <t>Época, s/Región</t>
  </si>
  <si>
    <t>Pag. 52 a 65</t>
  </si>
  <si>
    <t>Primera</t>
  </si>
  <si>
    <t>Prefloración</t>
  </si>
  <si>
    <t>Segunda</t>
  </si>
  <si>
    <t>May-Jun, Jun-Jul.</t>
  </si>
  <si>
    <t>Tercera</t>
  </si>
  <si>
    <t>Ago, Set.</t>
  </si>
  <si>
    <t>Pag. 10, 16 a 17</t>
  </si>
  <si>
    <t>Set, Oct-Nov.</t>
  </si>
  <si>
    <t>Estrobilurina (kg-L/ha)</t>
  </si>
  <si>
    <t>Cobres (kg-L/ha)</t>
  </si>
  <si>
    <t>ATOMIZACIONES: AÑO 1</t>
  </si>
  <si>
    <t>Agosto</t>
  </si>
  <si>
    <t>Junio-Julio.</t>
  </si>
  <si>
    <t>Octubre</t>
  </si>
  <si>
    <t>ATOMIZACIONES: AÑO 2</t>
  </si>
  <si>
    <t>Época del Año</t>
  </si>
  <si>
    <t>CONTROL MECÁNICO DE MALEZAS (Año 1)</t>
  </si>
  <si>
    <r>
      <rPr>
        <b/>
        <sz val="14"/>
        <rFont val="Avenir Next LT Pro"/>
        <family val="2"/>
      </rPr>
      <t>Epoca:</t>
    </r>
    <r>
      <rPr>
        <sz val="14"/>
        <rFont val="Avenir Next LT Pro"/>
        <family val="2"/>
      </rPr>
      <t xml:space="preserve"> previo a la siembra del café.</t>
    </r>
  </si>
  <si>
    <t>CONTROL QUÍMICO DE MALEZAS (Año 1)</t>
  </si>
  <si>
    <t>Insecticida</t>
  </si>
  <si>
    <t>Insecticida:</t>
  </si>
  <si>
    <t>Clorpirifos 15 GR</t>
  </si>
  <si>
    <t>Diazinon 10 GR</t>
  </si>
  <si>
    <t>Rugby 10 GR</t>
  </si>
  <si>
    <t>CONTRO DE JOBOTOS</t>
  </si>
  <si>
    <t>Opciones de Control:</t>
  </si>
  <si>
    <t>g/pto (a)</t>
  </si>
  <si>
    <t>Swat 75 WG (b)</t>
  </si>
  <si>
    <t>b/ Disolver 2.5 g/L, aplicar 250 ml por punto de siembra.</t>
  </si>
  <si>
    <t>a/ A medio hoyo al momento de la siembra.</t>
  </si>
  <si>
    <t>Pag. 33, 48</t>
  </si>
  <si>
    <t>Fungicida (triazol)</t>
  </si>
  <si>
    <t>Fungicida (estrobilurina)</t>
  </si>
  <si>
    <t>Fungicida (cobres)</t>
  </si>
  <si>
    <t>Fungicida (ferbam)</t>
  </si>
  <si>
    <t>Coadyuv.(Surfactante)</t>
  </si>
  <si>
    <t>Herbicida (glifosato)</t>
  </si>
  <si>
    <t>Coadyuv.(Regulador pH)</t>
  </si>
  <si>
    <t>L-ha</t>
  </si>
  <si>
    <t>(kg-L)/ha</t>
  </si>
  <si>
    <t>(L-kg)/ha</t>
  </si>
  <si>
    <t>CRC/(kg-L)</t>
  </si>
  <si>
    <t>Control Jobotos (kg/ha)</t>
  </si>
  <si>
    <t>*/ BCCR: Cambio Promedio de la Cosecha: CRC/USD</t>
  </si>
  <si>
    <t>Control mecánico de malezas</t>
  </si>
  <si>
    <t>Control químico de malezas</t>
  </si>
  <si>
    <t>ARREGLO DE SOMBRA</t>
  </si>
  <si>
    <t>Asistenc.</t>
  </si>
  <si>
    <t>PRODUCTIVIDAD</t>
  </si>
  <si>
    <t>A LOS 18 MESES</t>
  </si>
  <si>
    <t>Insecticida (jobotos)</t>
  </si>
  <si>
    <t>Aplicacación</t>
  </si>
  <si>
    <t>***/ Hoyada, distribución, fertilización, insecticida, siembra.</t>
  </si>
  <si>
    <t>Manual:</t>
  </si>
  <si>
    <t>Este indicador modifica inventario de activos, costos de transporte y gastos administrativos</t>
  </si>
  <si>
    <t>A</t>
  </si>
  <si>
    <t>B</t>
  </si>
  <si>
    <t>C</t>
  </si>
  <si>
    <t>D</t>
  </si>
  <si>
    <t>Tamaño de Finca (ha)</t>
  </si>
  <si>
    <t>1.5 a 6.0</t>
  </si>
  <si>
    <t>6.0 a 12.0</t>
  </si>
  <si>
    <t>12.0 a 24.0</t>
  </si>
  <si>
    <t>24.0 a 40.0</t>
  </si>
  <si>
    <t>Fert.&amp;Cal</t>
  </si>
  <si>
    <t>Café Fruta</t>
  </si>
  <si>
    <t>Rubro</t>
  </si>
  <si>
    <t>Impuesto</t>
  </si>
  <si>
    <t>Electricidad</t>
  </si>
  <si>
    <t>Acueductos</t>
  </si>
  <si>
    <t>Este indicador modifica inventario de activos, costos de transporte y gastos administrativos.</t>
  </si>
  <si>
    <t>Fertil.&amp;Cal (CRC/kg)</t>
  </si>
  <si>
    <t>Impuesto Municipales</t>
  </si>
  <si>
    <t>&amp; Reparac.</t>
  </si>
  <si>
    <t>2006-07</t>
  </si>
  <si>
    <t>Und</t>
  </si>
  <si>
    <t>Cuotas Patronales</t>
  </si>
  <si>
    <t>SEM</t>
  </si>
  <si>
    <t>IVM</t>
  </si>
  <si>
    <t>BPDC</t>
  </si>
  <si>
    <t>FODESAF</t>
  </si>
  <si>
    <t>IMAS</t>
  </si>
  <si>
    <t>INA</t>
  </si>
  <si>
    <t>FCL</t>
  </si>
  <si>
    <t>ROP</t>
  </si>
  <si>
    <t>Total CCSS</t>
  </si>
  <si>
    <t>Otras Instituciones</t>
  </si>
  <si>
    <t>Garantías Sociales</t>
  </si>
  <si>
    <t>Aguinaldo</t>
  </si>
  <si>
    <t>Cesantía</t>
  </si>
  <si>
    <t>Insecticida (Jobotos)</t>
  </si>
  <si>
    <t>Ley Protec. al Trabajador</t>
  </si>
  <si>
    <t>Seguro Riesgos Profes.</t>
  </si>
  <si>
    <t>Árboles de Sombra</t>
  </si>
  <si>
    <t>Fuente Calcárea</t>
  </si>
  <si>
    <t>Carbonato de Calcio</t>
  </si>
  <si>
    <t>Cal Dolomita</t>
  </si>
  <si>
    <t>Opera 18,3 SE</t>
  </si>
  <si>
    <t>AGROQUÍMICOS</t>
  </si>
  <si>
    <t>INSUMOS</t>
  </si>
  <si>
    <t>TRANSPORTE</t>
  </si>
  <si>
    <t>Fertilizantes &amp; F.Calcáreas</t>
  </si>
  <si>
    <t>Finca de 1.5 a 6.0 ha</t>
  </si>
  <si>
    <t>Finca de 6.0 a 12.0 ha</t>
  </si>
  <si>
    <t>Finca de 12.0 a 24.0 ha</t>
  </si>
  <si>
    <t>Finca de 24.0 a 40.0 ha</t>
  </si>
  <si>
    <t>Recolección de Café</t>
  </si>
  <si>
    <t>CRC/caj</t>
  </si>
  <si>
    <t>INVENTARIO ACTIVOS</t>
  </si>
  <si>
    <t>Tractor (60- 80 CV)</t>
  </si>
  <si>
    <t>Pick up (4x2 &amp; 4x4)</t>
  </si>
  <si>
    <t>Motobomba de Espalda</t>
  </si>
  <si>
    <t>Estañón</t>
  </si>
  <si>
    <t>Lima plana 12"</t>
  </si>
  <si>
    <t>Cuchillo (22'' a ó 28'')</t>
  </si>
  <si>
    <t>CRC/m2</t>
  </si>
  <si>
    <t>MANTEN &amp; REPARAC</t>
  </si>
  <si>
    <t>Equipo Agrícola</t>
  </si>
  <si>
    <t>Herramientas Agrícolas</t>
  </si>
  <si>
    <t>GASTO ADMINISTRAT.</t>
  </si>
  <si>
    <t>Impuesto Bienes Inmuebles</t>
  </si>
  <si>
    <t>Servicio Eléctrico</t>
  </si>
  <si>
    <t>Servicio de Acueductos</t>
  </si>
  <si>
    <t>AÑO COMIENZO</t>
  </si>
  <si>
    <t>Cuotas Patronales Campo</t>
  </si>
  <si>
    <t xml:space="preserve"> &lt;== REF: MTSS, Salario Mínimo</t>
  </si>
  <si>
    <t xml:space="preserve"> &lt;== Desglose según CCSS</t>
  </si>
  <si>
    <t>001-Ene</t>
  </si>
  <si>
    <t>002-Feb</t>
  </si>
  <si>
    <t>003-Mar</t>
  </si>
  <si>
    <t>004-Abr</t>
  </si>
  <si>
    <t>005-May</t>
  </si>
  <si>
    <t>006-Jun</t>
  </si>
  <si>
    <t>007-Jul</t>
  </si>
  <si>
    <t>008-Ago</t>
  </si>
  <si>
    <t>009-Set</t>
  </si>
  <si>
    <t>010-Oct</t>
  </si>
  <si>
    <t>011-Nov</t>
  </si>
  <si>
    <t>012-Dic</t>
  </si>
  <si>
    <t>BCCR - Tipo de Cambio Promedio de Venta y Compra del Dólar Estadounidense (CRC/USD)</t>
  </si>
  <si>
    <t>HISTÓRICO DE COSTO UNITARIO DE INSUMOS AGRÍCOLAS</t>
  </si>
  <si>
    <t>Salario de Peones</t>
  </si>
  <si>
    <t>CRONOGRAMA DE LABORES DE CULTIVO *</t>
  </si>
  <si>
    <t>*/ El cronograma debe ajustarse según la Región Cafetalera.</t>
  </si>
  <si>
    <t>Costo Acumulado</t>
  </si>
  <si>
    <t>Promedio mensual últimas 4 cosechas.</t>
  </si>
  <si>
    <t>Producción (fan)</t>
  </si>
  <si>
    <t>Costo Acumulado (CRC/ha)</t>
  </si>
  <si>
    <t>USD Acumulado</t>
  </si>
  <si>
    <t>Tipo Cambio (simulando): promedio aritmético últimos 12 meses.</t>
  </si>
  <si>
    <t>C.S.</t>
  </si>
  <si>
    <t>Herbicida (glufosinato)</t>
  </si>
  <si>
    <t>Glufosinato 15 SL</t>
  </si>
  <si>
    <t>Glufosinato (L/ha)</t>
  </si>
  <si>
    <t>Funibiol</t>
  </si>
  <si>
    <t>Funibiol (L/ha)</t>
  </si>
  <si>
    <t>Surfactante (L/ha)</t>
  </si>
  <si>
    <t>Regulador de pH (L/ha)</t>
  </si>
  <si>
    <t>Bioinsumo (Funibiol)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</si>
</sst>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%"/>
    <numFmt numFmtId="166" formatCode="#,##0.0"/>
    <numFmt numFmtId="167" formatCode="0.0000"/>
    <numFmt numFmtId="168" formatCode="#,##0.0000"/>
    <numFmt numFmtId="169" formatCode="0.000"/>
    <numFmt numFmtId="170" formatCode="#,##0.000"/>
  </numFmts>
  <fonts count="95">
    <font>
      <sz val="10"/>
      <name val="Arial"/>
    </font>
    <font>
      <sz val="10"/>
      <name val="Arial"/>
      <family val="2"/>
    </font>
    <font>
      <b/>
      <sz val="16"/>
      <name val="Garamond"/>
      <family val="1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color indexed="9"/>
      <name val="Comic Sans MS"/>
      <family val="4"/>
    </font>
    <font>
      <sz val="12"/>
      <color indexed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u val="double"/>
      <sz val="16"/>
      <name val="Garamond"/>
      <family val="1"/>
    </font>
    <font>
      <b/>
      <i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i/>
      <u/>
      <sz val="10"/>
      <name val="Arial"/>
      <family val="2"/>
    </font>
    <font>
      <b/>
      <sz val="12"/>
      <name val="Bookman Old Style"/>
      <family val="1"/>
    </font>
    <font>
      <sz val="7.5"/>
      <name val="Arial"/>
      <family val="2"/>
    </font>
    <font>
      <b/>
      <sz val="14"/>
      <name val="Bookman Old Style"/>
      <family val="1"/>
    </font>
    <font>
      <b/>
      <u/>
      <sz val="18"/>
      <name val="Bookman Old Style"/>
      <family val="1"/>
    </font>
    <font>
      <b/>
      <sz val="18"/>
      <name val="Bookman Old Style"/>
      <family val="1"/>
    </font>
    <font>
      <b/>
      <u val="double"/>
      <sz val="18"/>
      <name val="Bookman Old Style"/>
      <family val="1"/>
    </font>
    <font>
      <sz val="11"/>
      <name val="Arial"/>
      <family val="2"/>
    </font>
    <font>
      <b/>
      <sz val="16"/>
      <name val="Arial"/>
      <family val="2"/>
    </font>
    <font>
      <b/>
      <vertAlign val="superscript"/>
      <sz val="18"/>
      <name val="Bookman Old Style"/>
      <family val="1"/>
    </font>
    <font>
      <b/>
      <sz val="11"/>
      <color indexed="9"/>
      <name val="Arial"/>
      <family val="2"/>
    </font>
    <font>
      <b/>
      <i/>
      <vertAlign val="superscript"/>
      <sz val="11"/>
      <name val="Arial"/>
      <family val="2"/>
    </font>
    <font>
      <b/>
      <i/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sz val="8.5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8.5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0"/>
      <name val="Arial"/>
      <family val="2"/>
    </font>
    <font>
      <b/>
      <i/>
      <sz val="7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venir 85 Heavy"/>
      <family val="2"/>
    </font>
    <font>
      <u/>
      <sz val="10"/>
      <color theme="10"/>
      <name val="Arial"/>
      <family val="2"/>
    </font>
    <font>
      <sz val="14"/>
      <name val="Avenir Next LT Pro"/>
      <family val="2"/>
    </font>
    <font>
      <b/>
      <sz val="14"/>
      <name val="Avenir Next LT Pro"/>
      <family val="2"/>
    </font>
    <font>
      <b/>
      <sz val="14"/>
      <color rgb="FFFFFF1D"/>
      <name val="Avenir Next LT Pro"/>
      <family val="2"/>
    </font>
    <font>
      <b/>
      <sz val="14"/>
      <color theme="0"/>
      <name val="Avenir Next LT Pro"/>
      <family val="2"/>
    </font>
    <font>
      <sz val="14"/>
      <color theme="1"/>
      <name val="Avenir Next LT Pro"/>
      <family val="2"/>
    </font>
    <font>
      <b/>
      <sz val="14"/>
      <color rgb="FF33CC33"/>
      <name val="Avenir Next LT Pro"/>
      <family val="2"/>
    </font>
    <font>
      <b/>
      <i/>
      <sz val="12"/>
      <name val="Avenir Next LT Pro"/>
      <family val="2"/>
    </font>
    <font>
      <b/>
      <i/>
      <sz val="14"/>
      <name val="Avenir Next LT Pro"/>
      <family val="2"/>
    </font>
    <font>
      <sz val="10"/>
      <name val="Avenir Next LT Pro"/>
      <family val="2"/>
    </font>
    <font>
      <b/>
      <sz val="14"/>
      <color rgb="FF0000FF"/>
      <name val="Avenir Next LT Pro"/>
      <family val="2"/>
    </font>
    <font>
      <b/>
      <vertAlign val="subscript"/>
      <sz val="14"/>
      <color rgb="FF0000FF"/>
      <name val="Avenir Next LT Pro"/>
      <family val="2"/>
    </font>
    <font>
      <sz val="14"/>
      <color theme="0"/>
      <name val="Avenir Next LT Pro"/>
      <family val="2"/>
    </font>
    <font>
      <b/>
      <vertAlign val="subscript"/>
      <sz val="9"/>
      <color indexed="81"/>
      <name val="Tahoma"/>
      <family val="2"/>
    </font>
    <font>
      <sz val="14"/>
      <color theme="2" tint="-0.249977111117893"/>
      <name val="Avenir Next LT Pro"/>
      <family val="2"/>
    </font>
    <font>
      <sz val="14"/>
      <color theme="2" tint="-9.9978637043366805E-2"/>
      <name val="Avenir Next LT Pro"/>
      <family val="2"/>
    </font>
    <font>
      <sz val="8"/>
      <name val="Avenir Next LT Pro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i/>
      <sz val="8"/>
      <name val="Arial"/>
      <family val="2"/>
    </font>
    <font>
      <b/>
      <sz val="7"/>
      <name val="Avenir Next LT Pro"/>
      <family val="2"/>
    </font>
    <font>
      <sz val="7"/>
      <name val="Avenir Next LT Pro"/>
      <family val="2"/>
    </font>
    <font>
      <sz val="7"/>
      <color theme="1"/>
      <name val="Avenir Next LT Pro"/>
      <family val="2"/>
    </font>
    <font>
      <i/>
      <sz val="9"/>
      <name val="Avenir Next LT Pro"/>
      <family val="2"/>
    </font>
    <font>
      <sz val="7"/>
      <name val="Avenir Next LT Pro Light"/>
      <family val="2"/>
    </font>
    <font>
      <b/>
      <sz val="9"/>
      <color theme="0"/>
      <name val="Avenir Next LT Pro"/>
      <family val="2"/>
    </font>
    <font>
      <sz val="9"/>
      <name val="Avenir Next LT Pro"/>
      <family val="2"/>
    </font>
    <font>
      <b/>
      <i/>
      <sz val="9"/>
      <name val="Avenir Next LT Pro"/>
      <family val="2"/>
    </font>
    <font>
      <sz val="9"/>
      <color rgb="FFFF0000"/>
      <name val="Avenir Next LT Pro"/>
      <family val="2"/>
    </font>
    <font>
      <sz val="12"/>
      <name val="Comic Sans MS"/>
      <family val="4"/>
    </font>
    <font>
      <b/>
      <sz val="12"/>
      <color theme="0"/>
      <name val="Avenir Next LT Pro"/>
      <family val="2"/>
    </font>
    <font>
      <b/>
      <sz val="9"/>
      <color rgb="FFFFFF1D"/>
      <name val="Avenir Next LT Pro"/>
      <family val="2"/>
    </font>
    <font>
      <b/>
      <u/>
      <sz val="9"/>
      <color theme="10"/>
      <name val="Avenir Next LT Pro"/>
      <family val="2"/>
    </font>
    <font>
      <b/>
      <sz val="12"/>
      <color rgb="FFFFFF1D"/>
      <name val="Avenir Next LT Pro"/>
      <family val="2"/>
    </font>
    <font>
      <sz val="18"/>
      <name val="Avenir Next LT Pro"/>
      <family val="2"/>
    </font>
    <font>
      <b/>
      <sz val="18"/>
      <name val="Avenir Next LT Pro"/>
      <family val="2"/>
    </font>
    <font>
      <b/>
      <sz val="14"/>
      <color rgb="FFFFFF00"/>
      <name val="Avenir Next LT Pro"/>
      <family val="2"/>
    </font>
    <font>
      <sz val="11"/>
      <name val="Comic Sans MS"/>
      <family val="4"/>
    </font>
    <font>
      <b/>
      <sz val="11"/>
      <color indexed="9"/>
      <name val="Comic Sans MS"/>
      <family val="4"/>
    </font>
    <font>
      <sz val="12"/>
      <name val="Avenir Next LT Pro"/>
      <family val="2"/>
    </font>
    <font>
      <b/>
      <u/>
      <sz val="14"/>
      <color rgb="FFFF0000"/>
      <name val="Avenir Next LT Pro"/>
      <family val="2"/>
    </font>
    <font>
      <b/>
      <u/>
      <sz val="12"/>
      <color rgb="FFFF0000"/>
      <name val="Arial"/>
      <family val="2"/>
    </font>
    <font>
      <b/>
      <sz val="10"/>
      <color rgb="FFFFFF0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darkDown"/>
    </fill>
    <fill>
      <patternFill patternType="darkUp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A5235"/>
        <bgColor indexed="64"/>
      </patternFill>
    </fill>
    <fill>
      <patternFill patternType="solid">
        <fgColor rgb="FFF9CD1A"/>
        <bgColor indexed="64"/>
      </patternFill>
    </fill>
    <fill>
      <patternFill patternType="solid">
        <fgColor rgb="FFAAD25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FFCC"/>
        <bgColor indexed="64"/>
      </patternFill>
    </fill>
    <fill>
      <patternFill patternType="darkDown">
        <bgColor auto="1"/>
      </patternFill>
    </fill>
    <fill>
      <patternFill patternType="solid">
        <fgColor rgb="FF33CC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D4B34"/>
        <bgColor indexed="64"/>
      </patternFill>
    </fill>
    <fill>
      <patternFill patternType="solid">
        <fgColor rgb="FFEBECC4"/>
        <bgColor indexed="64"/>
      </patternFill>
    </fill>
    <fill>
      <patternFill patternType="solid">
        <fgColor rgb="FF829385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57A354"/>
        <bgColor indexed="64"/>
      </patternFill>
    </fill>
    <fill>
      <patternFill patternType="solid">
        <fgColor rgb="FFA9A389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6600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9" fillId="0" borderId="0" applyNumberFormat="0" applyFill="0" applyBorder="0" applyAlignment="0" applyProtection="0"/>
    <xf numFmtId="0" fontId="1" fillId="0" borderId="0"/>
    <xf numFmtId="0" fontId="1" fillId="0" borderId="0"/>
  </cellStyleXfs>
  <cellXfs count="770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indent="1"/>
    </xf>
    <xf numFmtId="2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4" fillId="0" borderId="0" xfId="0" applyFont="1"/>
    <xf numFmtId="4" fontId="0" fillId="0" borderId="0" xfId="0" applyNumberFormat="1" applyAlignment="1">
      <alignment horizontal="center"/>
    </xf>
    <xf numFmtId="0" fontId="10" fillId="0" borderId="0" xfId="0" applyFont="1"/>
    <xf numFmtId="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centerContinuous"/>
    </xf>
    <xf numFmtId="0" fontId="5" fillId="0" borderId="0" xfId="0" applyFont="1"/>
    <xf numFmtId="0" fontId="0" fillId="0" borderId="0" xfId="0" applyAlignment="1">
      <alignment horizontal="centerContinuous"/>
    </xf>
    <xf numFmtId="0" fontId="11" fillId="0" borderId="0" xfId="0" applyFont="1" applyAlignment="1">
      <alignment horizontal="centerContinuous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4" fontId="1" fillId="0" borderId="0" xfId="0" applyNumberFormat="1" applyFont="1"/>
    <xf numFmtId="0" fontId="3" fillId="0" borderId="0" xfId="0" applyFont="1" applyAlignment="1">
      <alignment horizontal="left"/>
    </xf>
    <xf numFmtId="0" fontId="9" fillId="2" borderId="0" xfId="0" applyFont="1" applyFill="1"/>
    <xf numFmtId="0" fontId="0" fillId="2" borderId="0" xfId="0" applyFill="1"/>
    <xf numFmtId="9" fontId="4" fillId="0" borderId="0" xfId="0" applyNumberFormat="1" applyFont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1" xfId="0" applyNumberFormat="1" applyBorder="1"/>
    <xf numFmtId="0" fontId="16" fillId="0" borderId="0" xfId="0" applyFont="1" applyAlignment="1">
      <alignment horizontal="centerContinuous"/>
    </xf>
    <xf numFmtId="2" fontId="14" fillId="0" borderId="0" xfId="0" applyNumberFormat="1" applyFont="1" applyAlignment="1">
      <alignment horizontal="left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/>
    <xf numFmtId="0" fontId="0" fillId="0" borderId="12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12" fillId="0" borderId="0" xfId="0" applyFont="1"/>
    <xf numFmtId="4" fontId="12" fillId="0" borderId="0" xfId="0" applyNumberFormat="1" applyFont="1" applyAlignment="1">
      <alignment horizontal="center"/>
    </xf>
    <xf numFmtId="4" fontId="12" fillId="0" borderId="6" xfId="0" applyNumberFormat="1" applyFont="1" applyBorder="1" applyAlignment="1">
      <alignment horizontal="center"/>
    </xf>
    <xf numFmtId="4" fontId="12" fillId="0" borderId="0" xfId="0" applyNumberFormat="1" applyFont="1"/>
    <xf numFmtId="165" fontId="12" fillId="0" borderId="14" xfId="1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1" fillId="0" borderId="8" xfId="1" applyNumberFormat="1" applyFont="1" applyBorder="1" applyAlignment="1">
      <alignment horizontal="center"/>
    </xf>
    <xf numFmtId="4" fontId="1" fillId="0" borderId="0" xfId="0" applyNumberFormat="1" applyFont="1" applyAlignment="1">
      <alignment vertical="center"/>
    </xf>
    <xf numFmtId="0" fontId="1" fillId="0" borderId="13" xfId="0" applyFont="1" applyBorder="1"/>
    <xf numFmtId="4" fontId="4" fillId="0" borderId="13" xfId="0" applyNumberFormat="1" applyFont="1" applyBorder="1" applyAlignment="1">
      <alignment vertical="center"/>
    </xf>
    <xf numFmtId="0" fontId="17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" fillId="0" borderId="14" xfId="0" applyNumberFormat="1" applyFont="1" applyBorder="1"/>
    <xf numFmtId="165" fontId="1" fillId="0" borderId="7" xfId="1" applyNumberFormat="1" applyFont="1" applyBorder="1" applyAlignment="1">
      <alignment horizontal="center"/>
    </xf>
    <xf numFmtId="165" fontId="4" fillId="0" borderId="14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20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7" fillId="0" borderId="0" xfId="0" applyFont="1"/>
    <xf numFmtId="0" fontId="3" fillId="0" borderId="0" xfId="0" applyFont="1"/>
    <xf numFmtId="0" fontId="22" fillId="0" borderId="0" xfId="0" applyFont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" fontId="27" fillId="0" borderId="14" xfId="1" applyNumberFormat="1" applyFont="1" applyBorder="1" applyAlignment="1">
      <alignment horizontal="center"/>
    </xf>
    <xf numFmtId="0" fontId="22" fillId="0" borderId="0" xfId="0" applyFont="1" applyAlignment="1">
      <alignment vertical="center"/>
    </xf>
    <xf numFmtId="167" fontId="22" fillId="0" borderId="0" xfId="1" applyNumberFormat="1" applyFont="1" applyBorder="1" applyAlignment="1">
      <alignment horizontal="center" vertical="center"/>
    </xf>
    <xf numFmtId="167" fontId="22" fillId="0" borderId="17" xfId="1" applyNumberFormat="1" applyFont="1" applyBorder="1" applyAlignment="1">
      <alignment horizontal="center" vertical="center"/>
    </xf>
    <xf numFmtId="4" fontId="22" fillId="0" borderId="14" xfId="1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2" fontId="22" fillId="0" borderId="17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67" fontId="22" fillId="0" borderId="0" xfId="1" applyNumberFormat="1" applyFont="1" applyAlignment="1">
      <alignment horizontal="center" vertical="center"/>
    </xf>
    <xf numFmtId="0" fontId="22" fillId="0" borderId="2" xfId="0" applyFont="1" applyBorder="1" applyAlignment="1">
      <alignment horizontal="centerContinuous" vertical="center"/>
    </xf>
    <xf numFmtId="0" fontId="22" fillId="0" borderId="3" xfId="0" applyFont="1" applyBorder="1" applyAlignment="1">
      <alignment horizontal="centerContinuous"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165" fontId="22" fillId="0" borderId="21" xfId="1" applyNumberFormat="1" applyFont="1" applyBorder="1" applyAlignment="1">
      <alignment vertical="center"/>
    </xf>
    <xf numFmtId="165" fontId="22" fillId="0" borderId="6" xfId="1" applyNumberFormat="1" applyFont="1" applyBorder="1" applyAlignment="1">
      <alignment vertical="center"/>
    </xf>
    <xf numFmtId="165" fontId="22" fillId="0" borderId="22" xfId="1" applyNumberFormat="1" applyFont="1" applyBorder="1" applyAlignment="1">
      <alignment vertical="center"/>
    </xf>
    <xf numFmtId="0" fontId="29" fillId="0" borderId="23" xfId="0" applyFont="1" applyBorder="1" applyAlignment="1">
      <alignment vertical="center"/>
    </xf>
    <xf numFmtId="4" fontId="30" fillId="0" borderId="24" xfId="0" applyNumberFormat="1" applyFont="1" applyBorder="1" applyAlignment="1">
      <alignment vertical="center"/>
    </xf>
    <xf numFmtId="165" fontId="30" fillId="0" borderId="25" xfId="1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4" fontId="30" fillId="0" borderId="26" xfId="0" applyNumberFormat="1" applyFont="1" applyBorder="1" applyAlignment="1">
      <alignment vertical="center"/>
    </xf>
    <xf numFmtId="165" fontId="30" fillId="0" borderId="27" xfId="1" applyNumberFormat="1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4" fontId="30" fillId="0" borderId="1" xfId="0" applyNumberFormat="1" applyFont="1" applyBorder="1" applyAlignment="1">
      <alignment vertical="center"/>
    </xf>
    <xf numFmtId="165" fontId="30" fillId="0" borderId="16" xfId="1" applyNumberFormat="1" applyFont="1" applyBorder="1" applyAlignment="1">
      <alignment vertical="center"/>
    </xf>
    <xf numFmtId="4" fontId="30" fillId="0" borderId="29" xfId="0" applyNumberFormat="1" applyFont="1" applyBorder="1" applyAlignment="1">
      <alignment vertical="center"/>
    </xf>
    <xf numFmtId="165" fontId="30" fillId="0" borderId="30" xfId="1" applyNumberFormat="1" applyFont="1" applyBorder="1" applyAlignment="1">
      <alignment vertical="center"/>
    </xf>
    <xf numFmtId="4" fontId="29" fillId="0" borderId="23" xfId="0" applyNumberFormat="1" applyFont="1" applyBorder="1" applyAlignment="1">
      <alignment vertical="center"/>
    </xf>
    <xf numFmtId="165" fontId="29" fillId="0" borderId="32" xfId="1" applyNumberFormat="1" applyFont="1" applyBorder="1" applyAlignment="1">
      <alignment vertical="center"/>
    </xf>
    <xf numFmtId="4" fontId="29" fillId="0" borderId="33" xfId="0" applyNumberFormat="1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4" fontId="29" fillId="0" borderId="34" xfId="0" applyNumberFormat="1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4" fontId="29" fillId="0" borderId="36" xfId="0" applyNumberFormat="1" applyFont="1" applyBorder="1" applyAlignment="1">
      <alignment vertical="center"/>
    </xf>
    <xf numFmtId="0" fontId="31" fillId="0" borderId="0" xfId="0" applyFont="1"/>
    <xf numFmtId="3" fontId="0" fillId="0" borderId="37" xfId="0" applyNumberFormat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165" fontId="1" fillId="0" borderId="14" xfId="1" applyNumberFormat="1" applyFont="1" applyBorder="1" applyAlignment="1">
      <alignment horizontal="center"/>
    </xf>
    <xf numFmtId="4" fontId="22" fillId="0" borderId="6" xfId="1" applyNumberFormat="1" applyFont="1" applyFill="1" applyBorder="1" applyAlignment="1">
      <alignment horizontal="center" vertical="center"/>
    </xf>
    <xf numFmtId="0" fontId="32" fillId="0" borderId="0" xfId="0" applyFont="1"/>
    <xf numFmtId="4" fontId="33" fillId="0" borderId="0" xfId="0" applyNumberFormat="1" applyFont="1" applyAlignment="1">
      <alignment horizontal="center"/>
    </xf>
    <xf numFmtId="4" fontId="33" fillId="0" borderId="6" xfId="0" applyNumberFormat="1" applyFont="1" applyBorder="1" applyAlignment="1">
      <alignment horizontal="center"/>
    </xf>
    <xf numFmtId="165" fontId="33" fillId="0" borderId="14" xfId="1" applyNumberFormat="1" applyFont="1" applyBorder="1" applyAlignment="1">
      <alignment horizontal="center"/>
    </xf>
    <xf numFmtId="0" fontId="34" fillId="0" borderId="0" xfId="0" applyFont="1"/>
    <xf numFmtId="0" fontId="0" fillId="0" borderId="22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4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left"/>
    </xf>
    <xf numFmtId="2" fontId="34" fillId="0" borderId="0" xfId="0" applyNumberFormat="1" applyFont="1" applyAlignment="1">
      <alignment horizontal="left"/>
    </xf>
    <xf numFmtId="0" fontId="3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vertical="top"/>
    </xf>
    <xf numFmtId="0" fontId="0" fillId="0" borderId="21" xfId="0" applyBorder="1"/>
    <xf numFmtId="166" fontId="0" fillId="0" borderId="52" xfId="0" applyNumberFormat="1" applyBorder="1" applyAlignment="1">
      <alignment horizontal="center"/>
    </xf>
    <xf numFmtId="4" fontId="0" fillId="0" borderId="52" xfId="0" applyNumberFormat="1" applyBorder="1" applyAlignment="1">
      <alignment horizontal="center"/>
    </xf>
    <xf numFmtId="0" fontId="0" fillId="0" borderId="52" xfId="0" applyBorder="1"/>
    <xf numFmtId="4" fontId="1" fillId="0" borderId="52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165" fontId="0" fillId="0" borderId="53" xfId="1" applyNumberFormat="1" applyFont="1" applyBorder="1" applyAlignment="1">
      <alignment horizontal="center"/>
    </xf>
    <xf numFmtId="0" fontId="0" fillId="0" borderId="54" xfId="0" applyBorder="1"/>
    <xf numFmtId="166" fontId="0" fillId="0" borderId="55" xfId="0" applyNumberFormat="1" applyBorder="1" applyAlignment="1">
      <alignment horizontal="center"/>
    </xf>
    <xf numFmtId="4" fontId="0" fillId="0" borderId="55" xfId="0" applyNumberFormat="1" applyBorder="1" applyAlignment="1">
      <alignment horizontal="center"/>
    </xf>
    <xf numFmtId="0" fontId="0" fillId="0" borderId="55" xfId="0" applyBorder="1"/>
    <xf numFmtId="4" fontId="1" fillId="0" borderId="55" xfId="0" applyNumberFormat="1" applyFont="1" applyBorder="1" applyAlignment="1">
      <alignment horizontal="center"/>
    </xf>
    <xf numFmtId="4" fontId="1" fillId="0" borderId="54" xfId="0" applyNumberFormat="1" applyFont="1" applyBorder="1" applyAlignment="1">
      <alignment horizontal="center"/>
    </xf>
    <xf numFmtId="165" fontId="0" fillId="0" borderId="56" xfId="1" applyNumberFormat="1" applyFont="1" applyBorder="1" applyAlignment="1">
      <alignment horizontal="center"/>
    </xf>
    <xf numFmtId="0" fontId="0" fillId="0" borderId="6" xfId="0" applyBorder="1"/>
    <xf numFmtId="0" fontId="41" fillId="6" borderId="2" xfId="0" applyFont="1" applyFill="1" applyBorder="1" applyAlignment="1">
      <alignment horizontal="centerContinuous" vertical="center"/>
    </xf>
    <xf numFmtId="0" fontId="41" fillId="6" borderId="5" xfId="0" applyFont="1" applyFill="1" applyBorder="1" applyAlignment="1">
      <alignment horizontal="centerContinuous" vertical="center"/>
    </xf>
    <xf numFmtId="0" fontId="41" fillId="6" borderId="3" xfId="0" applyFont="1" applyFill="1" applyBorder="1" applyAlignment="1">
      <alignment horizontal="centerContinuous" vertical="center"/>
    </xf>
    <xf numFmtId="0" fontId="0" fillId="0" borderId="5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3" borderId="30" xfId="0" applyFill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55" xfId="0" applyBorder="1" applyAlignment="1">
      <alignment vertical="center"/>
    </xf>
    <xf numFmtId="0" fontId="0" fillId="0" borderId="18" xfId="0" applyBorder="1" applyAlignment="1">
      <alignment vertical="center"/>
    </xf>
    <xf numFmtId="3" fontId="0" fillId="0" borderId="57" xfId="0" applyNumberForma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1" fillId="6" borderId="2" xfId="0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41" fillId="6" borderId="71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164" fontId="39" fillId="0" borderId="60" xfId="0" applyNumberFormat="1" applyFont="1" applyBorder="1" applyAlignment="1">
      <alignment horizontal="center" vertical="center"/>
    </xf>
    <xf numFmtId="164" fontId="39" fillId="0" borderId="61" xfId="0" applyNumberFormat="1" applyFont="1" applyBorder="1" applyAlignment="1">
      <alignment horizontal="center" vertical="center"/>
    </xf>
    <xf numFmtId="164" fontId="39" fillId="0" borderId="17" xfId="0" applyNumberFormat="1" applyFont="1" applyBorder="1" applyAlignment="1">
      <alignment horizontal="center" vertical="center"/>
    </xf>
    <xf numFmtId="164" fontId="39" fillId="0" borderId="62" xfId="0" applyNumberFormat="1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164" fontId="39" fillId="0" borderId="63" xfId="0" applyNumberFormat="1" applyFont="1" applyBorder="1" applyAlignment="1">
      <alignment horizontal="center" vertical="center"/>
    </xf>
    <xf numFmtId="164" fontId="39" fillId="0" borderId="64" xfId="0" applyNumberFormat="1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4" fontId="0" fillId="0" borderId="17" xfId="0" applyNumberFormat="1" applyBorder="1" applyAlignment="1">
      <alignment horizontal="center" vertical="center"/>
    </xf>
    <xf numFmtId="3" fontId="39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41" fillId="7" borderId="2" xfId="0" applyFont="1" applyFill="1" applyBorder="1" applyAlignment="1">
      <alignment vertical="center"/>
    </xf>
    <xf numFmtId="3" fontId="41" fillId="7" borderId="71" xfId="0" applyNumberFormat="1" applyFont="1" applyFill="1" applyBorder="1" applyAlignment="1">
      <alignment horizontal="center" vertical="center"/>
    </xf>
    <xf numFmtId="3" fontId="41" fillId="7" borderId="3" xfId="0" applyNumberFormat="1" applyFont="1" applyFill="1" applyBorder="1" applyAlignment="1">
      <alignment horizontal="center" vertical="center"/>
    </xf>
    <xf numFmtId="166" fontId="39" fillId="0" borderId="60" xfId="0" applyNumberFormat="1" applyFont="1" applyBorder="1" applyAlignment="1">
      <alignment horizontal="center" vertical="center"/>
    </xf>
    <xf numFmtId="166" fontId="39" fillId="0" borderId="61" xfId="0" applyNumberFormat="1" applyFont="1" applyBorder="1" applyAlignment="1">
      <alignment horizontal="center" vertical="center"/>
    </xf>
    <xf numFmtId="166" fontId="39" fillId="0" borderId="17" xfId="0" applyNumberFormat="1" applyFont="1" applyBorder="1" applyAlignment="1">
      <alignment horizontal="center" vertical="center"/>
    </xf>
    <xf numFmtId="166" fontId="39" fillId="0" borderId="62" xfId="0" applyNumberFormat="1" applyFont="1" applyBorder="1" applyAlignment="1">
      <alignment horizontal="center" vertical="center"/>
    </xf>
    <xf numFmtId="166" fontId="39" fillId="0" borderId="63" xfId="0" applyNumberFormat="1" applyFont="1" applyBorder="1" applyAlignment="1">
      <alignment horizontal="center" vertical="center"/>
    </xf>
    <xf numFmtId="166" fontId="39" fillId="0" borderId="64" xfId="0" applyNumberFormat="1" applyFont="1" applyBorder="1" applyAlignment="1">
      <alignment horizontal="center" vertical="center"/>
    </xf>
    <xf numFmtId="0" fontId="0" fillId="4" borderId="20" xfId="0" applyFill="1" applyBorder="1" applyAlignment="1">
      <alignment vertical="center"/>
    </xf>
    <xf numFmtId="0" fontId="0" fillId="4" borderId="30" xfId="0" applyFill="1" applyBorder="1" applyAlignment="1">
      <alignment vertical="center"/>
    </xf>
    <xf numFmtId="3" fontId="0" fillId="0" borderId="52" xfId="0" applyNumberForma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3" borderId="62" xfId="0" applyFill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horizontal="center" vertical="center"/>
    </xf>
    <xf numFmtId="3" fontId="0" fillId="0" borderId="62" xfId="0" applyNumberFormat="1" applyBorder="1" applyAlignment="1">
      <alignment horizontal="center" vertical="center"/>
    </xf>
    <xf numFmtId="3" fontId="41" fillId="6" borderId="72" xfId="0" applyNumberFormat="1" applyFont="1" applyFill="1" applyBorder="1" applyAlignment="1">
      <alignment horizontal="center" vertical="center"/>
    </xf>
    <xf numFmtId="3" fontId="41" fillId="7" borderId="72" xfId="0" applyNumberFormat="1" applyFont="1" applyFill="1" applyBorder="1" applyAlignment="1">
      <alignment horizontal="center" vertical="center"/>
    </xf>
    <xf numFmtId="4" fontId="0" fillId="0" borderId="62" xfId="0" applyNumberFormat="1" applyBorder="1" applyAlignment="1">
      <alignment horizontal="center" vertical="center"/>
    </xf>
    <xf numFmtId="0" fontId="0" fillId="5" borderId="17" xfId="0" applyFill="1" applyBorder="1" applyAlignment="1">
      <alignment vertical="center"/>
    </xf>
    <xf numFmtId="0" fontId="0" fillId="0" borderId="62" xfId="0" applyBorder="1" applyAlignment="1">
      <alignment vertical="center"/>
    </xf>
    <xf numFmtId="3" fontId="0" fillId="0" borderId="61" xfId="0" applyNumberFormat="1" applyBorder="1" applyAlignment="1">
      <alignment horizontal="center" vertical="center"/>
    </xf>
    <xf numFmtId="0" fontId="42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right" vertical="center" indent="1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43" fillId="11" borderId="26" xfId="0" applyNumberFormat="1" applyFont="1" applyFill="1" applyBorder="1" applyAlignment="1">
      <alignment vertic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3" fontId="12" fillId="0" borderId="6" xfId="0" applyNumberFormat="1" applyFont="1" applyBorder="1" applyAlignment="1">
      <alignment horizontal="center"/>
    </xf>
    <xf numFmtId="3" fontId="1" fillId="0" borderId="52" xfId="0" applyNumberFormat="1" applyFont="1" applyBorder="1" applyAlignment="1">
      <alignment horizontal="center"/>
    </xf>
    <xf numFmtId="3" fontId="1" fillId="0" borderId="55" xfId="0" applyNumberFormat="1" applyFont="1" applyBorder="1" applyAlignment="1">
      <alignment horizontal="center"/>
    </xf>
    <xf numFmtId="0" fontId="45" fillId="9" borderId="2" xfId="0" applyFont="1" applyFill="1" applyBorder="1" applyAlignment="1">
      <alignment vertical="center"/>
    </xf>
    <xf numFmtId="3" fontId="45" fillId="9" borderId="5" xfId="0" applyNumberFormat="1" applyFont="1" applyFill="1" applyBorder="1" applyAlignment="1">
      <alignment horizontal="center" vertical="center"/>
    </xf>
    <xf numFmtId="3" fontId="45" fillId="9" borderId="3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1" fillId="9" borderId="2" xfId="0" applyFont="1" applyFill="1" applyBorder="1" applyAlignment="1">
      <alignment horizontal="left" vertical="center" indent="1"/>
    </xf>
    <xf numFmtId="3" fontId="41" fillId="9" borderId="5" xfId="0" applyNumberFormat="1" applyFont="1" applyFill="1" applyBorder="1" applyAlignment="1">
      <alignment horizontal="center" vertical="center"/>
    </xf>
    <xf numFmtId="3" fontId="41" fillId="9" borderId="38" xfId="0" applyNumberFormat="1" applyFont="1" applyFill="1" applyBorder="1" applyAlignment="1">
      <alignment horizontal="center" vertical="center"/>
    </xf>
    <xf numFmtId="3" fontId="1" fillId="0" borderId="60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3" fontId="1" fillId="0" borderId="63" xfId="0" applyNumberFormat="1" applyFont="1" applyBorder="1" applyAlignment="1">
      <alignment horizontal="center"/>
    </xf>
    <xf numFmtId="0" fontId="1" fillId="0" borderId="14" xfId="0" applyFont="1" applyBorder="1"/>
    <xf numFmtId="3" fontId="12" fillId="0" borderId="14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45" fillId="9" borderId="4" xfId="0" applyNumberFormat="1" applyFont="1" applyFill="1" applyBorder="1" applyAlignment="1">
      <alignment horizontal="center" vertical="center"/>
    </xf>
    <xf numFmtId="3" fontId="1" fillId="0" borderId="53" xfId="0" applyNumberFormat="1" applyFont="1" applyBorder="1" applyAlignment="1">
      <alignment horizontal="center"/>
    </xf>
    <xf numFmtId="3" fontId="1" fillId="0" borderId="56" xfId="0" applyNumberFormat="1" applyFont="1" applyBorder="1" applyAlignment="1">
      <alignment horizontal="center"/>
    </xf>
    <xf numFmtId="3" fontId="41" fillId="9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8" fillId="0" borderId="0" xfId="0" applyFont="1" applyAlignment="1">
      <alignment horizontal="left" vertical="center"/>
    </xf>
    <xf numFmtId="0" fontId="1" fillId="0" borderId="55" xfId="0" applyFont="1" applyBorder="1" applyAlignment="1">
      <alignment vertical="center"/>
    </xf>
    <xf numFmtId="166" fontId="39" fillId="12" borderId="17" xfId="0" applyNumberFormat="1" applyFont="1" applyFill="1" applyBorder="1" applyAlignment="1">
      <alignment horizontal="center" vertical="center"/>
    </xf>
    <xf numFmtId="166" fontId="39" fillId="13" borderId="17" xfId="0" applyNumberFormat="1" applyFont="1" applyFill="1" applyBorder="1" applyAlignment="1">
      <alignment horizontal="center" vertical="center"/>
    </xf>
    <xf numFmtId="166" fontId="39" fillId="14" borderId="17" xfId="0" applyNumberFormat="1" applyFont="1" applyFill="1" applyBorder="1" applyAlignment="1">
      <alignment horizontal="center" vertical="center"/>
    </xf>
    <xf numFmtId="0" fontId="41" fillId="6" borderId="4" xfId="0" applyFont="1" applyFill="1" applyBorder="1" applyAlignment="1">
      <alignment horizontal="centerContinuous" vertical="center"/>
    </xf>
    <xf numFmtId="3" fontId="41" fillId="6" borderId="4" xfId="0" applyNumberFormat="1" applyFont="1" applyFill="1" applyBorder="1" applyAlignment="1">
      <alignment horizontal="centerContinuous" vertical="center"/>
    </xf>
    <xf numFmtId="3" fontId="0" fillId="0" borderId="13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3" fontId="0" fillId="0" borderId="67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41" fillId="7" borderId="4" xfId="0" applyNumberFormat="1" applyFont="1" applyFill="1" applyBorder="1" applyAlignment="1">
      <alignment horizontal="center" vertical="center"/>
    </xf>
    <xf numFmtId="3" fontId="41" fillId="6" borderId="8" xfId="0" applyNumberFormat="1" applyFont="1" applyFill="1" applyBorder="1" applyAlignment="1">
      <alignment horizontal="centerContinuous" vertical="center"/>
    </xf>
    <xf numFmtId="0" fontId="39" fillId="0" borderId="0" xfId="0" applyFont="1" applyAlignment="1">
      <alignment horizontal="left" vertical="center"/>
    </xf>
    <xf numFmtId="0" fontId="48" fillId="0" borderId="0" xfId="2" applyFont="1" applyAlignment="1">
      <alignment horizontal="centerContinuous" vertical="center"/>
    </xf>
    <xf numFmtId="3" fontId="4" fillId="15" borderId="4" xfId="0" applyNumberFormat="1" applyFont="1" applyFill="1" applyBorder="1" applyAlignment="1">
      <alignment horizontal="center" vertical="center"/>
    </xf>
    <xf numFmtId="3" fontId="39" fillId="0" borderId="18" xfId="0" applyNumberFormat="1" applyFont="1" applyBorder="1" applyAlignment="1">
      <alignment horizontal="center" vertical="center"/>
    </xf>
    <xf numFmtId="3" fontId="39" fillId="0" borderId="19" xfId="0" applyNumberFormat="1" applyFont="1" applyBorder="1" applyAlignment="1">
      <alignment horizontal="center" vertical="center"/>
    </xf>
    <xf numFmtId="3" fontId="39" fillId="0" borderId="57" xfId="0" applyNumberFormat="1" applyFont="1" applyBorder="1" applyAlignment="1">
      <alignment horizontal="center" vertical="center"/>
    </xf>
    <xf numFmtId="3" fontId="39" fillId="0" borderId="20" xfId="0" applyNumberFormat="1" applyFont="1" applyBorder="1" applyAlignment="1">
      <alignment horizontal="center" vertical="center"/>
    </xf>
    <xf numFmtId="0" fontId="0" fillId="16" borderId="30" xfId="0" applyFill="1" applyBorder="1" applyAlignment="1">
      <alignment vertical="center"/>
    </xf>
    <xf numFmtId="0" fontId="50" fillId="0" borderId="37" xfId="2" applyFont="1" applyBorder="1" applyAlignment="1">
      <alignment vertical="center"/>
    </xf>
    <xf numFmtId="0" fontId="50" fillId="0" borderId="13" xfId="2" applyFont="1" applyBorder="1" applyAlignment="1">
      <alignment vertical="center"/>
    </xf>
    <xf numFmtId="0" fontId="50" fillId="0" borderId="75" xfId="2" applyFont="1" applyBorder="1" applyAlignment="1">
      <alignment vertical="center"/>
    </xf>
    <xf numFmtId="0" fontId="50" fillId="0" borderId="0" xfId="2" applyFont="1" applyAlignment="1">
      <alignment vertical="center"/>
    </xf>
    <xf numFmtId="0" fontId="50" fillId="0" borderId="76" xfId="2" applyFont="1" applyBorder="1" applyAlignment="1">
      <alignment vertical="center"/>
    </xf>
    <xf numFmtId="0" fontId="51" fillId="0" borderId="2" xfId="2" applyFont="1" applyBorder="1" applyAlignment="1">
      <alignment horizontal="centerContinuous" vertical="center"/>
    </xf>
    <xf numFmtId="0" fontId="51" fillId="0" borderId="5" xfId="2" applyFont="1" applyBorder="1" applyAlignment="1">
      <alignment horizontal="centerContinuous" vertical="center"/>
    </xf>
    <xf numFmtId="0" fontId="51" fillId="0" borderId="3" xfId="2" applyFont="1" applyBorder="1" applyAlignment="1">
      <alignment horizontal="centerContinuous" vertical="center"/>
    </xf>
    <xf numFmtId="0" fontId="50" fillId="0" borderId="77" xfId="2" applyFont="1" applyBorder="1" applyAlignment="1">
      <alignment vertical="center"/>
    </xf>
    <xf numFmtId="0" fontId="50" fillId="0" borderId="5" xfId="2" applyFont="1" applyBorder="1" applyAlignment="1">
      <alignment horizontal="centerContinuous" vertical="center"/>
    </xf>
    <xf numFmtId="0" fontId="50" fillId="0" borderId="3" xfId="2" applyFont="1" applyBorder="1" applyAlignment="1">
      <alignment horizontal="centerContinuous" vertical="center"/>
    </xf>
    <xf numFmtId="0" fontId="51" fillId="0" borderId="0" xfId="2" applyFont="1" applyAlignment="1">
      <alignment vertical="center"/>
    </xf>
    <xf numFmtId="0" fontId="50" fillId="0" borderId="0" xfId="2" applyFont="1" applyAlignment="1">
      <alignment horizontal="left" vertical="center"/>
    </xf>
    <xf numFmtId="0" fontId="50" fillId="0" borderId="20" xfId="2" applyFont="1" applyBorder="1" applyAlignment="1">
      <alignment vertical="center"/>
    </xf>
    <xf numFmtId="0" fontId="50" fillId="0" borderId="20" xfId="2" applyFont="1" applyBorder="1" applyAlignment="1">
      <alignment horizontal="center" vertical="center"/>
    </xf>
    <xf numFmtId="0" fontId="50" fillId="0" borderId="29" xfId="2" applyFont="1" applyBorder="1" applyAlignment="1">
      <alignment vertical="center"/>
    </xf>
    <xf numFmtId="0" fontId="50" fillId="0" borderId="1" xfId="2" applyFont="1" applyBorder="1" applyAlignment="1">
      <alignment vertical="center"/>
    </xf>
    <xf numFmtId="0" fontId="50" fillId="0" borderId="78" xfId="2" applyFont="1" applyBorder="1" applyAlignment="1">
      <alignment vertical="center"/>
    </xf>
    <xf numFmtId="2" fontId="54" fillId="0" borderId="20" xfId="2" applyNumberFormat="1" applyFont="1" applyBorder="1" applyAlignment="1">
      <alignment horizontal="center" vertical="center"/>
    </xf>
    <xf numFmtId="0" fontId="50" fillId="0" borderId="18" xfId="2" applyFont="1" applyBorder="1" applyAlignment="1">
      <alignment vertical="center"/>
    </xf>
    <xf numFmtId="0" fontId="50" fillId="0" borderId="57" xfId="2" applyFont="1" applyBorder="1" applyAlignment="1">
      <alignment vertical="center"/>
    </xf>
    <xf numFmtId="164" fontId="51" fillId="12" borderId="20" xfId="2" applyNumberFormat="1" applyFont="1" applyFill="1" applyBorder="1" applyAlignment="1">
      <alignment horizontal="center" vertical="center"/>
    </xf>
    <xf numFmtId="0" fontId="51" fillId="0" borderId="20" xfId="2" applyFont="1" applyBorder="1" applyAlignment="1">
      <alignment vertical="center"/>
    </xf>
    <xf numFmtId="3" fontId="51" fillId="0" borderId="20" xfId="2" applyNumberFormat="1" applyFont="1" applyBorder="1" applyAlignment="1">
      <alignment horizontal="center" vertical="center"/>
    </xf>
    <xf numFmtId="0" fontId="51" fillId="0" borderId="57" xfId="2" applyFont="1" applyBorder="1" applyAlignment="1">
      <alignment horizontal="center" vertical="center"/>
    </xf>
    <xf numFmtId="164" fontId="50" fillId="0" borderId="20" xfId="2" applyNumberFormat="1" applyFont="1" applyBorder="1" applyAlignment="1">
      <alignment horizontal="center" vertical="center"/>
    </xf>
    <xf numFmtId="2" fontId="51" fillId="0" borderId="20" xfId="2" applyNumberFormat="1" applyFont="1" applyBorder="1" applyAlignment="1">
      <alignment horizontal="center" vertical="center"/>
    </xf>
    <xf numFmtId="0" fontId="56" fillId="0" borderId="8" xfId="2" applyFont="1" applyBorder="1" applyAlignment="1">
      <alignment horizontal="center" vertical="center"/>
    </xf>
    <xf numFmtId="0" fontId="57" fillId="0" borderId="8" xfId="2" applyFont="1" applyBorder="1" applyAlignment="1">
      <alignment horizontal="center" vertical="center"/>
    </xf>
    <xf numFmtId="0" fontId="51" fillId="0" borderId="20" xfId="2" applyFont="1" applyBorder="1" applyAlignment="1">
      <alignment horizontal="center" vertical="center"/>
    </xf>
    <xf numFmtId="164" fontId="51" fillId="0" borderId="20" xfId="2" applyNumberFormat="1" applyFont="1" applyBorder="1" applyAlignment="1">
      <alignment horizontal="center" vertical="center"/>
    </xf>
    <xf numFmtId="0" fontId="58" fillId="0" borderId="0" xfId="2" applyFont="1" applyAlignment="1">
      <alignment vertical="center"/>
    </xf>
    <xf numFmtId="0" fontId="50" fillId="0" borderId="60" xfId="2" applyFont="1" applyBorder="1" applyAlignment="1">
      <alignment horizontal="center" vertical="center"/>
    </xf>
    <xf numFmtId="0" fontId="51" fillId="0" borderId="37" xfId="2" applyFont="1" applyBorder="1" applyAlignment="1">
      <alignment horizontal="centerContinuous" vertical="center"/>
    </xf>
    <xf numFmtId="0" fontId="51" fillId="0" borderId="75" xfId="2" applyFont="1" applyBorder="1" applyAlignment="1">
      <alignment horizontal="centerContinuous" vertical="center"/>
    </xf>
    <xf numFmtId="0" fontId="50" fillId="0" borderId="57" xfId="2" applyFont="1" applyBorder="1" applyAlignment="1">
      <alignment horizontal="center" vertical="center"/>
    </xf>
    <xf numFmtId="0" fontId="51" fillId="0" borderId="76" xfId="2" applyFont="1" applyBorder="1" applyAlignment="1">
      <alignment horizontal="centerContinuous" vertical="center"/>
    </xf>
    <xf numFmtId="0" fontId="51" fillId="0" borderId="77" xfId="2" applyFont="1" applyBorder="1" applyAlignment="1">
      <alignment horizontal="centerContinuous" vertical="center"/>
    </xf>
    <xf numFmtId="0" fontId="50" fillId="0" borderId="29" xfId="2" applyFont="1" applyBorder="1" applyAlignment="1">
      <alignment horizontal="center" vertical="center"/>
    </xf>
    <xf numFmtId="0" fontId="53" fillId="18" borderId="0" xfId="2" applyFont="1" applyFill="1" applyAlignment="1">
      <alignment horizontal="center" vertical="center"/>
    </xf>
    <xf numFmtId="0" fontId="51" fillId="0" borderId="0" xfId="2" applyFont="1" applyAlignment="1">
      <alignment horizontal="center" vertical="center"/>
    </xf>
    <xf numFmtId="164" fontId="50" fillId="0" borderId="0" xfId="2" applyNumberFormat="1" applyFont="1" applyAlignment="1">
      <alignment horizontal="center" vertical="center"/>
    </xf>
    <xf numFmtId="0" fontId="50" fillId="0" borderId="0" xfId="2" applyFont="1" applyAlignment="1">
      <alignment horizontal="center" vertical="center"/>
    </xf>
    <xf numFmtId="0" fontId="61" fillId="0" borderId="0" xfId="2" applyFont="1" applyAlignment="1">
      <alignment horizontal="center" vertical="center"/>
    </xf>
    <xf numFmtId="2" fontId="50" fillId="0" borderId="0" xfId="2" applyNumberFormat="1" applyFont="1" applyAlignment="1">
      <alignment vertical="center"/>
    </xf>
    <xf numFmtId="165" fontId="61" fillId="0" borderId="0" xfId="2" applyNumberFormat="1" applyFont="1" applyAlignment="1">
      <alignment horizontal="left" vertical="center"/>
    </xf>
    <xf numFmtId="9" fontId="61" fillId="0" borderId="0" xfId="2" applyNumberFormat="1" applyFont="1" applyAlignment="1">
      <alignment horizontal="center" vertical="center"/>
    </xf>
    <xf numFmtId="0" fontId="63" fillId="0" borderId="0" xfId="2" applyFont="1" applyAlignment="1">
      <alignment horizontal="center" vertical="center"/>
    </xf>
    <xf numFmtId="164" fontId="50" fillId="0" borderId="0" xfId="2" applyNumberFormat="1" applyFont="1" applyAlignment="1">
      <alignment vertical="center"/>
    </xf>
    <xf numFmtId="2" fontId="50" fillId="0" borderId="0" xfId="2" applyNumberFormat="1" applyFont="1" applyAlignment="1">
      <alignment horizontal="center" vertical="center"/>
    </xf>
    <xf numFmtId="0" fontId="64" fillId="0" borderId="0" xfId="2" applyFont="1" applyAlignment="1">
      <alignment vertical="center"/>
    </xf>
    <xf numFmtId="164" fontId="64" fillId="0" borderId="0" xfId="2" applyNumberFormat="1" applyFont="1" applyAlignment="1">
      <alignment horizontal="center" vertical="center"/>
    </xf>
    <xf numFmtId="0" fontId="64" fillId="0" borderId="0" xfId="2" applyFont="1" applyAlignment="1">
      <alignment horizontal="center" vertical="center"/>
    </xf>
    <xf numFmtId="0" fontId="50" fillId="0" borderId="13" xfId="2" applyFont="1" applyBorder="1" applyAlignment="1">
      <alignment horizontal="center" vertical="center"/>
    </xf>
    <xf numFmtId="0" fontId="50" fillId="0" borderId="63" xfId="2" applyFont="1" applyBorder="1" applyAlignment="1">
      <alignment horizontal="center" vertical="center"/>
    </xf>
    <xf numFmtId="0" fontId="51" fillId="0" borderId="17" xfId="2" applyFont="1" applyBorder="1" applyAlignment="1">
      <alignment horizontal="right" vertical="center"/>
    </xf>
    <xf numFmtId="3" fontId="50" fillId="0" borderId="0" xfId="2" applyNumberFormat="1" applyFont="1" applyAlignment="1">
      <alignment horizontal="center" vertical="center"/>
    </xf>
    <xf numFmtId="0" fontId="50" fillId="0" borderId="4" xfId="2" applyFont="1" applyBorder="1" applyAlignment="1">
      <alignment vertical="center"/>
    </xf>
    <xf numFmtId="0" fontId="50" fillId="0" borderId="5" xfId="2" applyFont="1" applyBorder="1" applyAlignment="1">
      <alignment horizontal="center" vertical="center"/>
    </xf>
    <xf numFmtId="0" fontId="50" fillId="0" borderId="59" xfId="2" applyFont="1" applyBorder="1" applyAlignment="1">
      <alignment horizontal="center" vertical="center"/>
    </xf>
    <xf numFmtId="0" fontId="50" fillId="0" borderId="4" xfId="2" applyFont="1" applyBorder="1" applyAlignment="1">
      <alignment horizontal="center" vertical="center"/>
    </xf>
    <xf numFmtId="0" fontId="50" fillId="0" borderId="9" xfId="2" applyFont="1" applyBorder="1" applyAlignment="1">
      <alignment horizontal="center" vertical="center"/>
    </xf>
    <xf numFmtId="0" fontId="51" fillId="0" borderId="2" xfId="2" applyFont="1" applyBorder="1" applyAlignment="1">
      <alignment vertical="center"/>
    </xf>
    <xf numFmtId="3" fontId="51" fillId="0" borderId="5" xfId="2" applyNumberFormat="1" applyFont="1" applyBorder="1" applyAlignment="1">
      <alignment horizontal="center" vertical="center"/>
    </xf>
    <xf numFmtId="0" fontId="51" fillId="0" borderId="5" xfId="2" applyFont="1" applyBorder="1" applyAlignment="1">
      <alignment horizontal="center" vertical="center"/>
    </xf>
    <xf numFmtId="0" fontId="51" fillId="0" borderId="3" xfId="2" applyFont="1" applyBorder="1" applyAlignment="1">
      <alignment horizontal="center" vertical="center"/>
    </xf>
    <xf numFmtId="0" fontId="50" fillId="0" borderId="14" xfId="2" applyFont="1" applyBorder="1" applyAlignment="1">
      <alignment horizontal="center" vertical="center"/>
    </xf>
    <xf numFmtId="2" fontId="50" fillId="0" borderId="14" xfId="2" applyNumberFormat="1" applyFont="1" applyBorder="1" applyAlignment="1">
      <alignment horizontal="center" vertical="center"/>
    </xf>
    <xf numFmtId="1" fontId="50" fillId="0" borderId="0" xfId="2" applyNumberFormat="1" applyFont="1" applyAlignment="1">
      <alignment horizontal="center" vertical="center"/>
    </xf>
    <xf numFmtId="2" fontId="51" fillId="13" borderId="20" xfId="2" applyNumberFormat="1" applyFont="1" applyFill="1" applyBorder="1" applyAlignment="1">
      <alignment horizontal="center" vertical="center"/>
    </xf>
    <xf numFmtId="2" fontId="51" fillId="0" borderId="18" xfId="2" applyNumberFormat="1" applyFont="1" applyBorder="1" applyAlignment="1">
      <alignment horizontal="center" vertical="center"/>
    </xf>
    <xf numFmtId="2" fontId="51" fillId="0" borderId="79" xfId="2" applyNumberFormat="1" applyFont="1" applyBorder="1" applyAlignment="1">
      <alignment horizontal="center" vertical="center"/>
    </xf>
    <xf numFmtId="169" fontId="51" fillId="0" borderId="5" xfId="2" applyNumberFormat="1" applyFont="1" applyBorder="1" applyAlignment="1">
      <alignment horizontal="center" vertical="center"/>
    </xf>
    <xf numFmtId="2" fontId="51" fillId="0" borderId="3" xfId="2" applyNumberFormat="1" applyFont="1" applyBorder="1" applyAlignment="1">
      <alignment horizontal="center" vertical="center"/>
    </xf>
    <xf numFmtId="164" fontId="50" fillId="0" borderId="8" xfId="2" applyNumberFormat="1" applyFont="1" applyBorder="1" applyAlignment="1">
      <alignment horizontal="center" vertical="center"/>
    </xf>
    <xf numFmtId="169" fontId="50" fillId="0" borderId="0" xfId="2" applyNumberFormat="1" applyFont="1" applyAlignment="1">
      <alignment horizontal="center" vertical="center"/>
    </xf>
    <xf numFmtId="169" fontId="50" fillId="0" borderId="77" xfId="2" applyNumberFormat="1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169" fontId="50" fillId="0" borderId="19" xfId="2" applyNumberFormat="1" applyFont="1" applyBorder="1" applyAlignment="1">
      <alignment horizontal="center" vertical="center"/>
    </xf>
    <xf numFmtId="169" fontId="50" fillId="0" borderId="57" xfId="2" applyNumberFormat="1" applyFont="1" applyBorder="1" applyAlignment="1">
      <alignment horizontal="center" vertical="center"/>
    </xf>
    <xf numFmtId="0" fontId="50" fillId="0" borderId="1" xfId="2" applyFont="1" applyBorder="1" applyAlignment="1">
      <alignment horizontal="center" vertical="center"/>
    </xf>
    <xf numFmtId="2" fontId="50" fillId="0" borderId="1" xfId="2" applyNumberFormat="1" applyFont="1" applyBorder="1" applyAlignment="1">
      <alignment horizontal="center" vertical="center"/>
    </xf>
    <xf numFmtId="169" fontId="50" fillId="0" borderId="1" xfId="2" applyNumberFormat="1" applyFont="1" applyBorder="1" applyAlignment="1">
      <alignment horizontal="center" vertical="center"/>
    </xf>
    <xf numFmtId="0" fontId="50" fillId="0" borderId="55" xfId="2" applyFont="1" applyBorder="1" applyAlignment="1">
      <alignment vertical="center"/>
    </xf>
    <xf numFmtId="2" fontId="50" fillId="0" borderId="55" xfId="2" applyNumberFormat="1" applyFont="1" applyBorder="1" applyAlignment="1">
      <alignment horizontal="center" vertical="center"/>
    </xf>
    <xf numFmtId="3" fontId="50" fillId="0" borderId="1" xfId="2" applyNumberFormat="1" applyFont="1" applyBorder="1" applyAlignment="1">
      <alignment horizontal="center" vertical="center"/>
    </xf>
    <xf numFmtId="0" fontId="51" fillId="10" borderId="2" xfId="2" applyFont="1" applyFill="1" applyBorder="1" applyAlignment="1">
      <alignment horizontal="left" vertical="center"/>
    </xf>
    <xf numFmtId="0" fontId="51" fillId="10" borderId="5" xfId="2" applyFont="1" applyFill="1" applyBorder="1" applyAlignment="1">
      <alignment horizontal="left" vertical="center"/>
    </xf>
    <xf numFmtId="0" fontId="51" fillId="10" borderId="3" xfId="2" applyFont="1" applyFill="1" applyBorder="1" applyAlignment="1">
      <alignment vertical="center"/>
    </xf>
    <xf numFmtId="0" fontId="51" fillId="0" borderId="0" xfId="2" applyFont="1" applyAlignment="1">
      <alignment horizontal="left" vertical="center"/>
    </xf>
    <xf numFmtId="0" fontId="50" fillId="0" borderId="1" xfId="2" applyFont="1" applyBorder="1" applyAlignment="1">
      <alignment horizontal="left" vertical="center"/>
    </xf>
    <xf numFmtId="0" fontId="65" fillId="0" borderId="0" xfId="2" applyFont="1" applyAlignment="1">
      <alignment vertical="center"/>
    </xf>
    <xf numFmtId="2" fontId="50" fillId="0" borderId="0" xfId="0" applyNumberFormat="1" applyFont="1" applyAlignment="1">
      <alignment horizontal="center" vertical="center"/>
    </xf>
    <xf numFmtId="0" fontId="51" fillId="0" borderId="62" xfId="2" applyFont="1" applyBorder="1" applyAlignment="1">
      <alignment horizontal="center" vertical="center"/>
    </xf>
    <xf numFmtId="0" fontId="50" fillId="0" borderId="19" xfId="2" applyFont="1" applyBorder="1" applyAlignment="1">
      <alignment vertical="center"/>
    </xf>
    <xf numFmtId="0" fontId="50" fillId="0" borderId="18" xfId="2" applyFont="1" applyBorder="1" applyAlignment="1">
      <alignment horizontal="left" vertical="center" indent="1"/>
    </xf>
    <xf numFmtId="0" fontId="50" fillId="0" borderId="55" xfId="2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4" fontId="0" fillId="0" borderId="19" xfId="0" applyNumberFormat="1" applyBorder="1" applyAlignment="1">
      <alignment horizontal="center"/>
    </xf>
    <xf numFmtId="0" fontId="0" fillId="0" borderId="19" xfId="0" applyBorder="1"/>
    <xf numFmtId="4" fontId="1" fillId="0" borderId="19" xfId="0" applyNumberFormat="1" applyFont="1" applyBorder="1" applyAlignment="1">
      <alignment horizontal="center"/>
    </xf>
    <xf numFmtId="4" fontId="1" fillId="0" borderId="18" xfId="0" applyNumberFormat="1" applyFont="1" applyBorder="1" applyAlignment="1">
      <alignment horizontal="center"/>
    </xf>
    <xf numFmtId="165" fontId="0" fillId="0" borderId="79" xfId="1" applyNumberFormat="1" applyFont="1" applyBorder="1" applyAlignment="1">
      <alignment horizontal="center"/>
    </xf>
    <xf numFmtId="170" fontId="0" fillId="0" borderId="0" xfId="0" applyNumberFormat="1" applyAlignment="1">
      <alignment horizontal="center"/>
    </xf>
    <xf numFmtId="170" fontId="0" fillId="0" borderId="19" xfId="0" applyNumberFormat="1" applyBorder="1" applyAlignment="1">
      <alignment horizontal="center"/>
    </xf>
    <xf numFmtId="165" fontId="50" fillId="0" borderId="20" xfId="2" applyNumberFormat="1" applyFont="1" applyBorder="1" applyAlignment="1">
      <alignment horizontal="center" vertical="center"/>
    </xf>
    <xf numFmtId="0" fontId="0" fillId="4" borderId="57" xfId="0" applyFill="1" applyBorder="1" applyAlignment="1">
      <alignment vertical="center"/>
    </xf>
    <xf numFmtId="0" fontId="51" fillId="0" borderId="29" xfId="2" applyFont="1" applyBorder="1" applyAlignment="1">
      <alignment horizontal="centerContinuous" vertical="center"/>
    </xf>
    <xf numFmtId="0" fontId="51" fillId="0" borderId="78" xfId="2" applyFont="1" applyBorder="1" applyAlignment="1">
      <alignment horizontal="centerContinuous" vertical="center"/>
    </xf>
    <xf numFmtId="0" fontId="50" fillId="0" borderId="1" xfId="2" applyFont="1" applyBorder="1" applyAlignment="1">
      <alignment horizontal="left" vertical="center" indent="1"/>
    </xf>
    <xf numFmtId="0" fontId="50" fillId="0" borderId="0" xfId="2" applyFont="1" applyAlignment="1">
      <alignment horizontal="left" vertical="center" indent="1"/>
    </xf>
    <xf numFmtId="0" fontId="50" fillId="0" borderId="55" xfId="2" applyFont="1" applyBorder="1" applyAlignment="1">
      <alignment horizontal="left" vertical="center" indent="1"/>
    </xf>
    <xf numFmtId="164" fontId="50" fillId="13" borderId="0" xfId="2" applyNumberFormat="1" applyFont="1" applyFill="1" applyAlignment="1">
      <alignment horizontal="center" vertical="center"/>
    </xf>
    <xf numFmtId="0" fontId="49" fillId="0" borderId="0" xfId="3" applyAlignment="1">
      <alignment vertical="center"/>
    </xf>
    <xf numFmtId="0" fontId="50" fillId="0" borderId="76" xfId="2" applyFont="1" applyBorder="1" applyAlignment="1">
      <alignment horizontal="center" vertical="center"/>
    </xf>
    <xf numFmtId="0" fontId="1" fillId="0" borderId="0" xfId="2"/>
    <xf numFmtId="0" fontId="7" fillId="19" borderId="0" xfId="0" applyFont="1" applyFill="1" applyAlignment="1">
      <alignment horizontal="centerContinuous" vertical="center"/>
    </xf>
    <xf numFmtId="0" fontId="8" fillId="19" borderId="0" xfId="0" applyFont="1" applyFill="1" applyAlignment="1">
      <alignment horizontal="centerContinuous" vertical="center"/>
    </xf>
    <xf numFmtId="0" fontId="35" fillId="20" borderId="0" xfId="0" applyFont="1" applyFill="1" applyAlignment="1">
      <alignment vertical="center"/>
    </xf>
    <xf numFmtId="0" fontId="36" fillId="20" borderId="0" xfId="0" applyFont="1" applyFill="1" applyAlignment="1">
      <alignment horizontal="left" vertical="center" indent="1"/>
    </xf>
    <xf numFmtId="164" fontId="35" fillId="20" borderId="0" xfId="0" applyNumberFormat="1" applyFont="1" applyFill="1" applyAlignment="1">
      <alignment horizontal="center" vertical="center"/>
    </xf>
    <xf numFmtId="164" fontId="35" fillId="20" borderId="0" xfId="0" applyNumberFormat="1" applyFont="1" applyFill="1" applyAlignment="1">
      <alignment vertical="center"/>
    </xf>
    <xf numFmtId="0" fontId="0" fillId="20" borderId="0" xfId="0" applyFill="1" applyAlignment="1">
      <alignment vertical="center"/>
    </xf>
    <xf numFmtId="0" fontId="0" fillId="20" borderId="0" xfId="0" applyFill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0" fontId="13" fillId="20" borderId="0" xfId="0" applyFont="1" applyFill="1" applyAlignment="1">
      <alignment vertical="center"/>
    </xf>
    <xf numFmtId="0" fontId="0" fillId="20" borderId="4" xfId="0" applyFill="1" applyBorder="1" applyAlignment="1">
      <alignment horizontal="center" vertical="center"/>
    </xf>
    <xf numFmtId="0" fontId="0" fillId="20" borderId="18" xfId="0" applyFill="1" applyBorder="1" applyAlignment="1">
      <alignment vertical="center"/>
    </xf>
    <xf numFmtId="166" fontId="0" fillId="20" borderId="19" xfId="0" applyNumberFormat="1" applyFill="1" applyBorder="1" applyAlignment="1">
      <alignment horizontal="center" vertical="center"/>
    </xf>
    <xf numFmtId="166" fontId="0" fillId="20" borderId="57" xfId="0" applyNumberFormat="1" applyFill="1" applyBorder="1" applyAlignment="1">
      <alignment horizontal="center" vertical="center"/>
    </xf>
    <xf numFmtId="0" fontId="0" fillId="20" borderId="0" xfId="0" applyFill="1" applyAlignment="1">
      <alignment horizontal="left" vertical="center" indent="1"/>
    </xf>
    <xf numFmtId="4" fontId="0" fillId="20" borderId="0" xfId="0" applyNumberFormat="1" applyFill="1" applyAlignment="1">
      <alignment horizontal="right" vertical="center"/>
    </xf>
    <xf numFmtId="10" fontId="0" fillId="20" borderId="7" xfId="1" applyNumberFormat="1" applyFont="1" applyFill="1" applyBorder="1" applyAlignment="1">
      <alignment horizontal="center" vertical="center"/>
    </xf>
    <xf numFmtId="168" fontId="0" fillId="20" borderId="0" xfId="0" applyNumberFormat="1" applyFill="1" applyAlignment="1">
      <alignment horizontal="center" vertical="center"/>
    </xf>
    <xf numFmtId="4" fontId="0" fillId="20" borderId="0" xfId="0" applyNumberFormat="1" applyFill="1" applyAlignment="1">
      <alignment vertical="center"/>
    </xf>
    <xf numFmtId="10" fontId="0" fillId="20" borderId="14" xfId="1" applyNumberFormat="1" applyFont="1" applyFill="1" applyBorder="1" applyAlignment="1">
      <alignment horizontal="center" vertical="center"/>
    </xf>
    <xf numFmtId="4" fontId="0" fillId="20" borderId="0" xfId="0" applyNumberFormat="1" applyFill="1" applyAlignment="1">
      <alignment horizontal="center" vertical="center"/>
    </xf>
    <xf numFmtId="10" fontId="38" fillId="20" borderId="0" xfId="1" applyNumberFormat="1" applyFont="1" applyFill="1" applyAlignment="1">
      <alignment horizontal="center" vertical="center"/>
    </xf>
    <xf numFmtId="10" fontId="38" fillId="20" borderId="0" xfId="1" applyNumberFormat="1" applyFont="1" applyFill="1" applyAlignment="1">
      <alignment vertical="center"/>
    </xf>
    <xf numFmtId="10" fontId="0" fillId="20" borderId="8" xfId="1" applyNumberFormat="1" applyFont="1" applyFill="1" applyBorder="1" applyAlignment="1">
      <alignment horizontal="center" vertical="center"/>
    </xf>
    <xf numFmtId="0" fontId="0" fillId="20" borderId="0" xfId="0" applyFill="1" applyAlignment="1">
      <alignment horizontal="left" vertical="center"/>
    </xf>
    <xf numFmtId="0" fontId="0" fillId="20" borderId="0" xfId="0" applyFill="1" applyAlignment="1">
      <alignment horizontal="centerContinuous" vertical="center"/>
    </xf>
    <xf numFmtId="0" fontId="1" fillId="20" borderId="0" xfId="0" applyFont="1" applyFill="1" applyAlignment="1">
      <alignment vertical="center"/>
    </xf>
    <xf numFmtId="3" fontId="1" fillId="20" borderId="0" xfId="0" applyNumberFormat="1" applyFont="1" applyFill="1" applyAlignment="1">
      <alignment horizontal="center" vertical="center"/>
    </xf>
    <xf numFmtId="0" fontId="0" fillId="20" borderId="0" xfId="0" applyFill="1"/>
    <xf numFmtId="3" fontId="0" fillId="20" borderId="0" xfId="0" applyNumberFormat="1" applyFill="1" applyAlignment="1">
      <alignment horizontal="center" vertical="center"/>
    </xf>
    <xf numFmtId="2" fontId="0" fillId="20" borderId="0" xfId="0" applyNumberFormat="1" applyFill="1" applyAlignment="1">
      <alignment horizontal="center" vertical="center"/>
    </xf>
    <xf numFmtId="164" fontId="1" fillId="20" borderId="0" xfId="0" applyNumberFormat="1" applyFont="1" applyFill="1" applyAlignment="1">
      <alignment horizontal="center" vertical="center"/>
    </xf>
    <xf numFmtId="165" fontId="1" fillId="20" borderId="0" xfId="0" applyNumberFormat="1" applyFont="1" applyFill="1" applyAlignment="1">
      <alignment horizontal="center" vertical="center"/>
    </xf>
    <xf numFmtId="0" fontId="15" fillId="20" borderId="0" xfId="0" applyFont="1" applyFill="1" applyAlignment="1">
      <alignment vertical="center"/>
    </xf>
    <xf numFmtId="0" fontId="4" fillId="20" borderId="55" xfId="0" applyFont="1" applyFill="1" applyBorder="1" applyAlignment="1">
      <alignment horizontal="center" vertical="center"/>
    </xf>
    <xf numFmtId="0" fontId="1" fillId="20" borderId="0" xfId="0" applyFont="1" applyFill="1" applyAlignment="1">
      <alignment horizontal="left" vertical="center" indent="1"/>
    </xf>
    <xf numFmtId="166" fontId="0" fillId="20" borderId="0" xfId="0" applyNumberFormat="1" applyFill="1" applyAlignment="1">
      <alignment horizontal="center" vertical="center"/>
    </xf>
    <xf numFmtId="2" fontId="1" fillId="20" borderId="0" xfId="0" applyNumberFormat="1" applyFont="1" applyFill="1" applyAlignment="1">
      <alignment horizontal="center" vertical="center"/>
    </xf>
    <xf numFmtId="169" fontId="1" fillId="20" borderId="0" xfId="0" applyNumberFormat="1" applyFont="1" applyFill="1" applyAlignment="1">
      <alignment horizontal="center" vertical="center"/>
    </xf>
    <xf numFmtId="166" fontId="1" fillId="20" borderId="0" xfId="0" applyNumberFormat="1" applyFont="1" applyFill="1" applyAlignment="1">
      <alignment horizontal="center" vertical="center"/>
    </xf>
    <xf numFmtId="4" fontId="1" fillId="20" borderId="0" xfId="0" applyNumberFormat="1" applyFont="1" applyFill="1" applyAlignment="1">
      <alignment vertical="center"/>
    </xf>
    <xf numFmtId="169" fontId="1" fillId="20" borderId="19" xfId="0" applyNumberFormat="1" applyFont="1" applyFill="1" applyBorder="1" applyAlignment="1">
      <alignment horizontal="center" vertical="center"/>
    </xf>
    <xf numFmtId="169" fontId="1" fillId="20" borderId="57" xfId="0" applyNumberFormat="1" applyFont="1" applyFill="1" applyBorder="1" applyAlignment="1">
      <alignment horizontal="center" vertical="center"/>
    </xf>
    <xf numFmtId="168" fontId="0" fillId="20" borderId="0" xfId="0" applyNumberFormat="1" applyFill="1" applyAlignment="1">
      <alignment vertical="center"/>
    </xf>
    <xf numFmtId="10" fontId="0" fillId="20" borderId="0" xfId="0" applyNumberFormat="1" applyFill="1" applyAlignment="1">
      <alignment vertical="center"/>
    </xf>
    <xf numFmtId="4" fontId="5" fillId="20" borderId="0" xfId="0" applyNumberFormat="1" applyFont="1" applyFill="1" applyAlignment="1">
      <alignment vertical="center"/>
    </xf>
    <xf numFmtId="0" fontId="66" fillId="19" borderId="7" xfId="0" applyFont="1" applyFill="1" applyBorder="1" applyAlignment="1">
      <alignment horizontal="center" vertical="center"/>
    </xf>
    <xf numFmtId="0" fontId="66" fillId="19" borderId="8" xfId="0" applyFont="1" applyFill="1" applyBorder="1" applyAlignment="1">
      <alignment horizontal="center" vertical="center"/>
    </xf>
    <xf numFmtId="0" fontId="41" fillId="19" borderId="2" xfId="0" applyFont="1" applyFill="1" applyBorder="1" applyAlignment="1">
      <alignment horizontal="centerContinuous" vertical="center"/>
    </xf>
    <xf numFmtId="0" fontId="41" fillId="19" borderId="3" xfId="0" applyFont="1" applyFill="1" applyBorder="1" applyAlignment="1">
      <alignment horizontal="centerContinuous" vertical="center"/>
    </xf>
    <xf numFmtId="0" fontId="41" fillId="19" borderId="2" xfId="0" applyFont="1" applyFill="1" applyBorder="1" applyAlignment="1">
      <alignment horizontal="left" vertical="center" indent="1"/>
    </xf>
    <xf numFmtId="0" fontId="41" fillId="19" borderId="5" xfId="0" applyFont="1" applyFill="1" applyBorder="1" applyAlignment="1">
      <alignment horizontal="left" vertical="center"/>
    </xf>
    <xf numFmtId="4" fontId="41" fillId="19" borderId="5" xfId="0" applyNumberFormat="1" applyFont="1" applyFill="1" applyBorder="1" applyAlignment="1">
      <alignment vertical="center"/>
    </xf>
    <xf numFmtId="4" fontId="41" fillId="19" borderId="5" xfId="0" applyNumberFormat="1" applyFont="1" applyFill="1" applyBorder="1" applyAlignment="1">
      <alignment horizontal="center" vertical="center"/>
    </xf>
    <xf numFmtId="4" fontId="41" fillId="19" borderId="3" xfId="0" applyNumberFormat="1" applyFont="1" applyFill="1" applyBorder="1" applyAlignment="1">
      <alignment horizontal="center" vertical="center"/>
    </xf>
    <xf numFmtId="165" fontId="41" fillId="19" borderId="4" xfId="1" applyNumberFormat="1" applyFont="1" applyFill="1" applyBorder="1" applyAlignment="1">
      <alignment horizontal="center" vertical="center"/>
    </xf>
    <xf numFmtId="0" fontId="41" fillId="19" borderId="5" xfId="0" applyFont="1" applyFill="1" applyBorder="1" applyAlignment="1">
      <alignment horizontal="centerContinuous" vertical="center"/>
    </xf>
    <xf numFmtId="4" fontId="41" fillId="19" borderId="3" xfId="0" applyNumberFormat="1" applyFont="1" applyFill="1" applyBorder="1" applyAlignment="1">
      <alignment horizontal="centerContinuous" vertical="center"/>
    </xf>
    <xf numFmtId="4" fontId="41" fillId="19" borderId="2" xfId="0" applyNumberFormat="1" applyFont="1" applyFill="1" applyBorder="1" applyAlignment="1">
      <alignment vertical="center"/>
    </xf>
    <xf numFmtId="0" fontId="1" fillId="20" borderId="14" xfId="0" applyFont="1" applyFill="1" applyBorder="1"/>
    <xf numFmtId="0" fontId="12" fillId="20" borderId="14" xfId="0" applyFont="1" applyFill="1" applyBorder="1"/>
    <xf numFmtId="0" fontId="1" fillId="20" borderId="14" xfId="0" applyFont="1" applyFill="1" applyBorder="1" applyAlignment="1">
      <alignment horizontal="center"/>
    </xf>
    <xf numFmtId="0" fontId="1" fillId="20" borderId="53" xfId="0" applyFont="1" applyFill="1" applyBorder="1" applyAlignment="1">
      <alignment horizontal="center"/>
    </xf>
    <xf numFmtId="0" fontId="1" fillId="20" borderId="56" xfId="0" applyFont="1" applyFill="1" applyBorder="1" applyAlignment="1">
      <alignment horizontal="center"/>
    </xf>
    <xf numFmtId="0" fontId="1" fillId="20" borderId="79" xfId="0" applyFont="1" applyFill="1" applyBorder="1" applyAlignment="1">
      <alignment horizontal="center"/>
    </xf>
    <xf numFmtId="0" fontId="1" fillId="20" borderId="8" xfId="0" applyFont="1" applyFill="1" applyBorder="1"/>
    <xf numFmtId="4" fontId="1" fillId="20" borderId="14" xfId="0" applyNumberFormat="1" applyFont="1" applyFill="1" applyBorder="1" applyAlignment="1">
      <alignment horizontal="center"/>
    </xf>
    <xf numFmtId="4" fontId="1" fillId="20" borderId="14" xfId="0" applyNumberFormat="1" applyFont="1" applyFill="1" applyBorder="1"/>
    <xf numFmtId="4" fontId="12" fillId="20" borderId="14" xfId="0" applyNumberFormat="1" applyFont="1" applyFill="1" applyBorder="1"/>
    <xf numFmtId="4" fontId="1" fillId="20" borderId="53" xfId="0" applyNumberFormat="1" applyFont="1" applyFill="1" applyBorder="1" applyAlignment="1">
      <alignment horizontal="center"/>
    </xf>
    <xf numFmtId="4" fontId="1" fillId="20" borderId="56" xfId="0" applyNumberFormat="1" applyFont="1" applyFill="1" applyBorder="1" applyAlignment="1">
      <alignment horizontal="center"/>
    </xf>
    <xf numFmtId="4" fontId="1" fillId="20" borderId="79" xfId="0" applyNumberFormat="1" applyFont="1" applyFill="1" applyBorder="1" applyAlignment="1">
      <alignment horizontal="center"/>
    </xf>
    <xf numFmtId="4" fontId="1" fillId="20" borderId="8" xfId="0" applyNumberFormat="1" applyFont="1" applyFill="1" applyBorder="1"/>
    <xf numFmtId="0" fontId="1" fillId="20" borderId="7" xfId="0" applyFont="1" applyFill="1" applyBorder="1"/>
    <xf numFmtId="0" fontId="41" fillId="19" borderId="7" xfId="0" applyFont="1" applyFill="1" applyBorder="1" applyAlignment="1">
      <alignment horizontal="center" vertical="center"/>
    </xf>
    <xf numFmtId="0" fontId="41" fillId="19" borderId="8" xfId="0" applyFont="1" applyFill="1" applyBorder="1" applyAlignment="1">
      <alignment horizontal="center" vertical="center"/>
    </xf>
    <xf numFmtId="4" fontId="1" fillId="20" borderId="7" xfId="0" applyNumberFormat="1" applyFont="1" applyFill="1" applyBorder="1" applyAlignment="1">
      <alignment horizontal="center"/>
    </xf>
    <xf numFmtId="0" fontId="67" fillId="19" borderId="15" xfId="0" applyFont="1" applyFill="1" applyBorder="1" applyAlignment="1">
      <alignment horizontal="center"/>
    </xf>
    <xf numFmtId="0" fontId="25" fillId="19" borderId="7" xfId="0" applyFont="1" applyFill="1" applyBorder="1" applyAlignment="1">
      <alignment horizontal="centerContinuous" vertical="center"/>
    </xf>
    <xf numFmtId="0" fontId="67" fillId="19" borderId="16" xfId="0" applyFont="1" applyFill="1" applyBorder="1" applyAlignment="1">
      <alignment horizontal="center" vertical="center"/>
    </xf>
    <xf numFmtId="0" fontId="25" fillId="19" borderId="8" xfId="0" applyFont="1" applyFill="1" applyBorder="1" applyAlignment="1">
      <alignment horizontal="center" vertical="center"/>
    </xf>
    <xf numFmtId="0" fontId="3" fillId="19" borderId="2" xfId="0" applyFont="1" applyFill="1" applyBorder="1" applyAlignment="1">
      <alignment vertical="center"/>
    </xf>
    <xf numFmtId="0" fontId="67" fillId="19" borderId="5" xfId="0" applyFont="1" applyFill="1" applyBorder="1" applyAlignment="1">
      <alignment vertical="center"/>
    </xf>
    <xf numFmtId="167" fontId="67" fillId="19" borderId="5" xfId="1" applyNumberFormat="1" applyFont="1" applyFill="1" applyBorder="1" applyAlignment="1">
      <alignment horizontal="center" vertical="center"/>
    </xf>
    <xf numFmtId="4" fontId="67" fillId="19" borderId="5" xfId="1" applyNumberFormat="1" applyFont="1" applyFill="1" applyBorder="1" applyAlignment="1">
      <alignment horizontal="center" vertical="center"/>
    </xf>
    <xf numFmtId="4" fontId="67" fillId="19" borderId="4" xfId="1" applyNumberFormat="1" applyFont="1" applyFill="1" applyBorder="1" applyAlignment="1">
      <alignment horizontal="center" vertical="center"/>
    </xf>
    <xf numFmtId="0" fontId="51" fillId="0" borderId="0" xfId="0" quotePrefix="1" applyFont="1" applyAlignment="1">
      <alignment vertical="center"/>
    </xf>
    <xf numFmtId="0" fontId="70" fillId="0" borderId="80" xfId="0" applyFont="1" applyBorder="1" applyAlignment="1">
      <alignment horizontal="centerContinuous" vertical="center"/>
    </xf>
    <xf numFmtId="0" fontId="71" fillId="0" borderId="81" xfId="0" applyFont="1" applyBorder="1" applyAlignment="1">
      <alignment horizontal="centerContinuous" vertical="center"/>
    </xf>
    <xf numFmtId="0" fontId="71" fillId="0" borderId="82" xfId="0" applyFont="1" applyBorder="1" applyAlignment="1">
      <alignment horizontal="centerContinuous" vertical="center"/>
    </xf>
    <xf numFmtId="16" fontId="72" fillId="0" borderId="81" xfId="0" applyNumberFormat="1" applyFont="1" applyBorder="1" applyAlignment="1">
      <alignment horizontal="center" vertical="center"/>
    </xf>
    <xf numFmtId="0" fontId="72" fillId="0" borderId="83" xfId="0" applyFont="1" applyBorder="1" applyAlignment="1">
      <alignment horizontal="center" vertical="center"/>
    </xf>
    <xf numFmtId="0" fontId="72" fillId="0" borderId="81" xfId="0" applyFont="1" applyBorder="1" applyAlignment="1">
      <alignment horizontal="center" vertical="center"/>
    </xf>
    <xf numFmtId="0" fontId="39" fillId="0" borderId="0" xfId="0" applyFont="1"/>
    <xf numFmtId="167" fontId="71" fillId="0" borderId="21" xfId="1" applyNumberFormat="1" applyFont="1" applyBorder="1" applyAlignment="1">
      <alignment horizontal="center" vertical="center"/>
    </xf>
    <xf numFmtId="167" fontId="71" fillId="0" borderId="60" xfId="1" applyNumberFormat="1" applyFont="1" applyBorder="1" applyAlignment="1">
      <alignment horizontal="center" vertical="center"/>
    </xf>
    <xf numFmtId="167" fontId="71" fillId="0" borderId="54" xfId="0" applyNumberFormat="1" applyFont="1" applyBorder="1" applyAlignment="1">
      <alignment horizontal="center" vertical="center"/>
    </xf>
    <xf numFmtId="167" fontId="71" fillId="0" borderId="63" xfId="0" applyNumberFormat="1" applyFont="1" applyBorder="1" applyAlignment="1">
      <alignment horizontal="center" vertical="center"/>
    </xf>
    <xf numFmtId="167" fontId="71" fillId="0" borderId="0" xfId="0" applyNumberFormat="1" applyFont="1" applyAlignment="1">
      <alignment horizontal="center" vertical="center"/>
    </xf>
    <xf numFmtId="167" fontId="71" fillId="0" borderId="0" xfId="0" applyNumberFormat="1" applyFont="1" applyAlignment="1">
      <alignment horizontal="center"/>
    </xf>
    <xf numFmtId="167" fontId="71" fillId="0" borderId="6" xfId="1" applyNumberFormat="1" applyFont="1" applyBorder="1" applyAlignment="1">
      <alignment horizontal="center" vertical="center"/>
    </xf>
    <xf numFmtId="167" fontId="71" fillId="0" borderId="17" xfId="1" applyNumberFormat="1" applyFont="1" applyBorder="1" applyAlignment="1">
      <alignment horizontal="center" vertical="center"/>
    </xf>
    <xf numFmtId="167" fontId="71" fillId="0" borderId="54" xfId="1" applyNumberFormat="1" applyFont="1" applyBorder="1" applyAlignment="1">
      <alignment horizontal="center" vertical="center"/>
    </xf>
    <xf numFmtId="167" fontId="71" fillId="0" borderId="63" xfId="1" applyNumberFormat="1" applyFont="1" applyBorder="1" applyAlignment="1">
      <alignment horizontal="center" vertical="center"/>
    </xf>
    <xf numFmtId="4" fontId="39" fillId="0" borderId="57" xfId="0" applyNumberFormat="1" applyFont="1" applyBorder="1" applyAlignment="1">
      <alignment horizontal="center" vertical="center"/>
    </xf>
    <xf numFmtId="4" fontId="39" fillId="0" borderId="20" xfId="0" applyNumberFormat="1" applyFont="1" applyBorder="1" applyAlignment="1">
      <alignment horizontal="center" vertical="center"/>
    </xf>
    <xf numFmtId="4" fontId="39" fillId="0" borderId="84" xfId="0" applyNumberFormat="1" applyFont="1" applyBorder="1" applyAlignment="1">
      <alignment horizontal="center" vertical="center"/>
    </xf>
    <xf numFmtId="4" fontId="39" fillId="0" borderId="85" xfId="0" applyNumberFormat="1" applyFont="1" applyBorder="1" applyAlignment="1">
      <alignment horizontal="center" vertical="center"/>
    </xf>
    <xf numFmtId="0" fontId="71" fillId="0" borderId="0" xfId="0" applyFont="1"/>
    <xf numFmtId="0" fontId="71" fillId="0" borderId="2" xfId="0" applyFont="1" applyBorder="1" applyAlignment="1">
      <alignment horizontal="centerContinuous" vertical="center"/>
    </xf>
    <xf numFmtId="0" fontId="71" fillId="0" borderId="5" xfId="0" applyFont="1" applyBorder="1" applyAlignment="1">
      <alignment horizontal="centerContinuous" vertical="center"/>
    </xf>
    <xf numFmtId="0" fontId="71" fillId="0" borderId="3" xfId="0" applyFont="1" applyBorder="1" applyAlignment="1">
      <alignment horizontal="centerContinuous" vertical="center"/>
    </xf>
    <xf numFmtId="0" fontId="71" fillId="0" borderId="1" xfId="0" applyFont="1" applyBorder="1"/>
    <xf numFmtId="16" fontId="72" fillId="0" borderId="1" xfId="0" applyNumberFormat="1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71" fillId="0" borderId="37" xfId="0" applyFont="1" applyBorder="1"/>
    <xf numFmtId="4" fontId="39" fillId="0" borderId="86" xfId="0" applyNumberFormat="1" applyFont="1" applyBorder="1" applyAlignment="1">
      <alignment horizontal="center" vertical="center"/>
    </xf>
    <xf numFmtId="4" fontId="39" fillId="0" borderId="87" xfId="0" applyNumberFormat="1" applyFont="1" applyBorder="1" applyAlignment="1">
      <alignment horizontal="center" vertical="center"/>
    </xf>
    <xf numFmtId="4" fontId="39" fillId="0" borderId="32" xfId="0" applyNumberFormat="1" applyFont="1" applyBorder="1" applyAlignment="1">
      <alignment horizontal="center" vertical="center"/>
    </xf>
    <xf numFmtId="0" fontId="71" fillId="0" borderId="88" xfId="0" applyFont="1" applyBorder="1"/>
    <xf numFmtId="4" fontId="39" fillId="0" borderId="89" xfId="0" applyNumberFormat="1" applyFont="1" applyBorder="1" applyAlignment="1">
      <alignment horizontal="center" vertical="center"/>
    </xf>
    <xf numFmtId="0" fontId="71" fillId="0" borderId="29" xfId="0" applyFont="1" applyBorder="1"/>
    <xf numFmtId="4" fontId="39" fillId="0" borderId="90" xfId="0" applyNumberFormat="1" applyFont="1" applyBorder="1" applyAlignment="1">
      <alignment horizontal="center" vertical="center"/>
    </xf>
    <xf numFmtId="0" fontId="39" fillId="0" borderId="80" xfId="0" applyFont="1" applyBorder="1" applyAlignment="1">
      <alignment horizontal="center" vertical="center"/>
    </xf>
    <xf numFmtId="0" fontId="39" fillId="0" borderId="81" xfId="0" applyFont="1" applyBorder="1" applyAlignment="1">
      <alignment horizontal="center" vertical="center"/>
    </xf>
    <xf numFmtId="0" fontId="39" fillId="0" borderId="82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64" fontId="39" fillId="0" borderId="0" xfId="0" applyNumberFormat="1" applyFont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9" fontId="39" fillId="0" borderId="37" xfId="1" applyFont="1" applyFill="1" applyBorder="1" applyAlignment="1">
      <alignment horizontal="center" vertical="center"/>
    </xf>
    <xf numFmtId="9" fontId="39" fillId="0" borderId="15" xfId="1" applyFont="1" applyFill="1" applyBorder="1" applyAlignment="1">
      <alignment horizontal="center" vertical="center"/>
    </xf>
    <xf numFmtId="9" fontId="39" fillId="0" borderId="29" xfId="1" applyFont="1" applyFill="1" applyBorder="1" applyAlignment="1">
      <alignment horizontal="center" vertical="center"/>
    </xf>
    <xf numFmtId="9" fontId="39" fillId="0" borderId="16" xfId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Continuous" vertical="center"/>
    </xf>
    <xf numFmtId="0" fontId="39" fillId="0" borderId="3" xfId="0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167" fontId="22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/>
    </xf>
    <xf numFmtId="0" fontId="70" fillId="0" borderId="91" xfId="0" applyFont="1" applyBorder="1" applyAlignment="1">
      <alignment horizontal="center"/>
    </xf>
    <xf numFmtId="0" fontId="70" fillId="0" borderId="92" xfId="0" applyFont="1" applyBorder="1" applyAlignment="1">
      <alignment horizontal="center"/>
    </xf>
    <xf numFmtId="10" fontId="39" fillId="20" borderId="20" xfId="1" applyNumberFormat="1" applyFont="1" applyFill="1" applyBorder="1" applyAlignment="1">
      <alignment horizontal="center" vertical="center"/>
    </xf>
    <xf numFmtId="10" fontId="70" fillId="0" borderId="0" xfId="1" applyNumberFormat="1" applyFont="1" applyAlignment="1">
      <alignment horizontal="center" vertical="center"/>
    </xf>
    <xf numFmtId="10" fontId="39" fillId="20" borderId="60" xfId="1" applyNumberFormat="1" applyFont="1" applyFill="1" applyBorder="1" applyAlignment="1">
      <alignment horizontal="center" vertical="center"/>
    </xf>
    <xf numFmtId="10" fontId="39" fillId="20" borderId="17" xfId="1" applyNumberFormat="1" applyFont="1" applyFill="1" applyBorder="1" applyAlignment="1">
      <alignment horizontal="center" vertical="center"/>
    </xf>
    <xf numFmtId="10" fontId="39" fillId="20" borderId="63" xfId="1" applyNumberFormat="1" applyFont="1" applyFill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75" fillId="19" borderId="0" xfId="0" applyFont="1" applyFill="1" applyAlignment="1">
      <alignment vertical="center"/>
    </xf>
    <xf numFmtId="0" fontId="75" fillId="19" borderId="0" xfId="0" applyFont="1" applyFill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 applyAlignment="1">
      <alignment horizontal="center" vertical="center"/>
    </xf>
    <xf numFmtId="4" fontId="76" fillId="0" borderId="0" xfId="0" applyNumberFormat="1" applyFont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0" borderId="0" xfId="0" applyFont="1" applyAlignment="1">
      <alignment horizontal="center" vertical="center"/>
    </xf>
    <xf numFmtId="10" fontId="77" fillId="0" borderId="0" xfId="0" applyNumberFormat="1" applyFont="1" applyAlignment="1">
      <alignment horizontal="center" vertical="center"/>
    </xf>
    <xf numFmtId="10" fontId="76" fillId="0" borderId="0" xfId="1" applyNumberFormat="1" applyFont="1" applyAlignment="1">
      <alignment horizontal="center" vertical="center"/>
    </xf>
    <xf numFmtId="4" fontId="78" fillId="0" borderId="0" xfId="0" applyNumberFormat="1" applyFont="1" applyAlignment="1">
      <alignment horizontal="center" vertical="center"/>
    </xf>
    <xf numFmtId="4" fontId="77" fillId="0" borderId="0" xfId="0" applyNumberFormat="1" applyFont="1" applyAlignment="1">
      <alignment horizontal="center" vertical="center"/>
    </xf>
    <xf numFmtId="4" fontId="76" fillId="0" borderId="0" xfId="0" applyNumberFormat="1" applyFont="1" applyAlignment="1">
      <alignment vertical="center"/>
    </xf>
    <xf numFmtId="4" fontId="75" fillId="19" borderId="0" xfId="0" applyNumberFormat="1" applyFont="1" applyFill="1" applyAlignment="1">
      <alignment horizontal="center" vertical="center"/>
    </xf>
    <xf numFmtId="0" fontId="76" fillId="0" borderId="0" xfId="0" applyFont="1" applyAlignment="1">
      <alignment horizontal="left" vertical="center" indent="1"/>
    </xf>
    <xf numFmtId="0" fontId="79" fillId="0" borderId="0" xfId="0" applyFont="1"/>
    <xf numFmtId="0" fontId="7" fillId="19" borderId="0" xfId="0" applyFont="1" applyFill="1" applyAlignment="1">
      <alignment vertical="center"/>
    </xf>
    <xf numFmtId="0" fontId="79" fillId="19" borderId="0" xfId="0" applyFont="1" applyFill="1" applyAlignment="1">
      <alignment vertical="center"/>
    </xf>
    <xf numFmtId="0" fontId="7" fillId="19" borderId="0" xfId="0" applyFont="1" applyFill="1" applyAlignment="1">
      <alignment horizontal="right" vertical="center"/>
    </xf>
    <xf numFmtId="0" fontId="79" fillId="0" borderId="0" xfId="0" applyFont="1" applyAlignment="1">
      <alignment vertical="center"/>
    </xf>
    <xf numFmtId="0" fontId="75" fillId="19" borderId="91" xfId="0" applyFont="1" applyFill="1" applyBorder="1" applyAlignment="1">
      <alignment horizontal="center" vertical="center"/>
    </xf>
    <xf numFmtId="0" fontId="76" fillId="0" borderId="94" xfId="0" applyFont="1" applyBorder="1" applyAlignment="1">
      <alignment vertical="center"/>
    </xf>
    <xf numFmtId="0" fontId="77" fillId="0" borderId="94" xfId="0" applyFont="1" applyBorder="1" applyAlignment="1">
      <alignment vertical="center"/>
    </xf>
    <xf numFmtId="0" fontId="76" fillId="19" borderId="93" xfId="0" applyFont="1" applyFill="1" applyBorder="1" applyAlignment="1">
      <alignment vertical="center"/>
    </xf>
    <xf numFmtId="10" fontId="76" fillId="0" borderId="0" xfId="0" applyNumberFormat="1" applyFont="1" applyAlignment="1">
      <alignment vertical="center"/>
    </xf>
    <xf numFmtId="3" fontId="76" fillId="0" borderId="0" xfId="0" applyNumberFormat="1" applyFont="1" applyAlignment="1">
      <alignment horizontal="center" vertical="center"/>
    </xf>
    <xf numFmtId="3" fontId="77" fillId="0" borderId="0" xfId="0" applyNumberFormat="1" applyFont="1" applyAlignment="1">
      <alignment horizontal="center" vertical="center"/>
    </xf>
    <xf numFmtId="0" fontId="80" fillId="19" borderId="0" xfId="0" applyFont="1" applyFill="1" applyAlignment="1">
      <alignment horizontal="center" vertical="center"/>
    </xf>
    <xf numFmtId="0" fontId="82" fillId="0" borderId="4" xfId="3" applyFont="1" applyBorder="1" applyAlignment="1">
      <alignment horizontal="center" vertical="center"/>
    </xf>
    <xf numFmtId="0" fontId="76" fillId="0" borderId="0" xfId="0" quotePrefix="1" applyFont="1" applyAlignment="1">
      <alignment vertical="center"/>
    </xf>
    <xf numFmtId="0" fontId="75" fillId="17" borderId="0" xfId="0" applyFont="1" applyFill="1" applyAlignment="1">
      <alignment horizontal="center" vertical="center"/>
    </xf>
    <xf numFmtId="0" fontId="76" fillId="0" borderId="0" xfId="0" applyFont="1" applyAlignment="1">
      <alignment horizontal="center"/>
    </xf>
    <xf numFmtId="0" fontId="76" fillId="0" borderId="0" xfId="0" applyFont="1"/>
    <xf numFmtId="4" fontId="76" fillId="0" borderId="0" xfId="0" applyNumberFormat="1" applyFont="1" applyAlignment="1">
      <alignment horizontal="center"/>
    </xf>
    <xf numFmtId="0" fontId="75" fillId="19" borderId="0" xfId="0" applyFont="1" applyFill="1" applyAlignment="1">
      <alignment horizontal="center"/>
    </xf>
    <xf numFmtId="4" fontId="75" fillId="17" borderId="0" xfId="0" applyNumberFormat="1" applyFont="1" applyFill="1" applyAlignment="1">
      <alignment horizontal="center" vertical="center"/>
    </xf>
    <xf numFmtId="0" fontId="85" fillId="0" borderId="0" xfId="0" applyFont="1" applyAlignment="1">
      <alignment vertical="center"/>
    </xf>
    <xf numFmtId="0" fontId="53" fillId="19" borderId="20" xfId="2" applyFont="1" applyFill="1" applyBorder="1" applyAlignment="1">
      <alignment vertical="center"/>
    </xf>
    <xf numFmtId="0" fontId="85" fillId="0" borderId="0" xfId="0" applyFont="1" applyAlignment="1">
      <alignment horizontal="left" vertical="center"/>
    </xf>
    <xf numFmtId="0" fontId="84" fillId="0" borderId="0" xfId="0" applyFont="1" applyAlignment="1">
      <alignment horizontal="center"/>
    </xf>
    <xf numFmtId="0" fontId="84" fillId="0" borderId="0" xfId="0" applyFont="1"/>
    <xf numFmtId="10" fontId="1" fillId="0" borderId="0" xfId="1" applyNumberFormat="1" applyAlignment="1">
      <alignment horizontal="center"/>
    </xf>
    <xf numFmtId="0" fontId="66" fillId="19" borderId="3" xfId="0" applyFont="1" applyFill="1" applyBorder="1" applyAlignment="1">
      <alignment horizontal="centerContinuous" vertical="center"/>
    </xf>
    <xf numFmtId="0" fontId="41" fillId="19" borderId="44" xfId="0" applyFont="1" applyFill="1" applyBorder="1" applyAlignment="1">
      <alignment horizontal="center" vertical="center"/>
    </xf>
    <xf numFmtId="4" fontId="41" fillId="19" borderId="44" xfId="0" applyNumberFormat="1" applyFont="1" applyFill="1" applyBorder="1" applyAlignment="1">
      <alignment horizontal="center" vertical="center"/>
    </xf>
    <xf numFmtId="4" fontId="41" fillId="19" borderId="45" xfId="0" applyNumberFormat="1" applyFont="1" applyFill="1" applyBorder="1" applyAlignment="1">
      <alignment horizontal="center" vertical="center"/>
    </xf>
    <xf numFmtId="4" fontId="41" fillId="19" borderId="46" xfId="0" applyNumberFormat="1" applyFont="1" applyFill="1" applyBorder="1" applyAlignment="1">
      <alignment horizontal="center" vertical="center"/>
    </xf>
    <xf numFmtId="0" fontId="41" fillId="19" borderId="48" xfId="0" applyFont="1" applyFill="1" applyBorder="1" applyAlignment="1">
      <alignment horizontal="center" vertical="center"/>
    </xf>
    <xf numFmtId="4" fontId="41" fillId="19" borderId="48" xfId="0" applyNumberFormat="1" applyFont="1" applyFill="1" applyBorder="1" applyAlignment="1">
      <alignment horizontal="center" vertical="center"/>
    </xf>
    <xf numFmtId="4" fontId="41" fillId="19" borderId="49" xfId="0" applyNumberFormat="1" applyFont="1" applyFill="1" applyBorder="1" applyAlignment="1">
      <alignment horizontal="center" vertical="center"/>
    </xf>
    <xf numFmtId="4" fontId="41" fillId="19" borderId="50" xfId="0" applyNumberFormat="1" applyFont="1" applyFill="1" applyBorder="1" applyAlignment="1">
      <alignment horizontal="center" vertical="center"/>
    </xf>
    <xf numFmtId="4" fontId="41" fillId="19" borderId="47" xfId="0" applyNumberFormat="1" applyFont="1" applyFill="1" applyBorder="1" applyAlignment="1">
      <alignment horizontal="center" vertical="center"/>
    </xf>
    <xf numFmtId="4" fontId="41" fillId="19" borderId="51" xfId="0" applyNumberFormat="1" applyFont="1" applyFill="1" applyBorder="1" applyAlignment="1">
      <alignment horizontal="center" vertical="center"/>
    </xf>
    <xf numFmtId="3" fontId="41" fillId="19" borderId="44" xfId="0" applyNumberFormat="1" applyFont="1" applyFill="1" applyBorder="1" applyAlignment="1">
      <alignment horizontal="center" vertical="center"/>
    </xf>
    <xf numFmtId="3" fontId="41" fillId="19" borderId="73" xfId="0" applyNumberFormat="1" applyFont="1" applyFill="1" applyBorder="1" applyAlignment="1">
      <alignment horizontal="center" vertical="center"/>
    </xf>
    <xf numFmtId="166" fontId="41" fillId="19" borderId="48" xfId="0" applyNumberFormat="1" applyFont="1" applyFill="1" applyBorder="1" applyAlignment="1">
      <alignment horizontal="center" vertical="center"/>
    </xf>
    <xf numFmtId="166" fontId="41" fillId="19" borderId="74" xfId="0" applyNumberFormat="1" applyFont="1" applyFill="1" applyBorder="1" applyAlignment="1">
      <alignment horizontal="center" vertical="center"/>
    </xf>
    <xf numFmtId="3" fontId="41" fillId="19" borderId="47" xfId="0" applyNumberFormat="1" applyFont="1" applyFill="1" applyBorder="1" applyAlignment="1">
      <alignment horizontal="center" vertical="center"/>
    </xf>
    <xf numFmtId="166" fontId="41" fillId="19" borderId="51" xfId="0" applyNumberFormat="1" applyFont="1" applyFill="1" applyBorder="1" applyAlignment="1">
      <alignment horizontal="center" vertical="center"/>
    </xf>
    <xf numFmtId="0" fontId="41" fillId="19" borderId="13" xfId="0" applyFont="1" applyFill="1" applyBorder="1" applyAlignment="1">
      <alignment horizontal="center"/>
    </xf>
    <xf numFmtId="4" fontId="41" fillId="19" borderId="13" xfId="0" applyNumberFormat="1" applyFont="1" applyFill="1" applyBorder="1" applyAlignment="1">
      <alignment horizontal="center"/>
    </xf>
    <xf numFmtId="4" fontId="41" fillId="19" borderId="39" xfId="0" applyNumberFormat="1" applyFont="1" applyFill="1" applyBorder="1" applyAlignment="1">
      <alignment horizontal="center"/>
    </xf>
    <xf numFmtId="4" fontId="41" fillId="19" borderId="41" xfId="0" applyNumberFormat="1" applyFont="1" applyFill="1" applyBorder="1" applyAlignment="1">
      <alignment horizontal="center"/>
    </xf>
    <xf numFmtId="0" fontId="41" fillId="19" borderId="1" xfId="0" applyFont="1" applyFill="1" applyBorder="1" applyAlignment="1">
      <alignment horizontal="center"/>
    </xf>
    <xf numFmtId="4" fontId="41" fillId="19" borderId="1" xfId="0" applyNumberFormat="1" applyFont="1" applyFill="1" applyBorder="1" applyAlignment="1">
      <alignment horizontal="center"/>
    </xf>
    <xf numFmtId="4" fontId="41" fillId="19" borderId="40" xfId="0" applyNumberFormat="1" applyFont="1" applyFill="1" applyBorder="1" applyAlignment="1">
      <alignment horizontal="center"/>
    </xf>
    <xf numFmtId="4" fontId="41" fillId="19" borderId="42" xfId="0" applyNumberFormat="1" applyFont="1" applyFill="1" applyBorder="1" applyAlignment="1">
      <alignment horizontal="center"/>
    </xf>
    <xf numFmtId="4" fontId="41" fillId="19" borderId="7" xfId="0" applyNumberFormat="1" applyFont="1" applyFill="1" applyBorder="1" applyAlignment="1">
      <alignment horizontal="center"/>
    </xf>
    <xf numFmtId="4" fontId="41" fillId="19" borderId="8" xfId="0" applyNumberFormat="1" applyFont="1" applyFill="1" applyBorder="1" applyAlignment="1">
      <alignment horizontal="center"/>
    </xf>
    <xf numFmtId="0" fontId="44" fillId="20" borderId="13" xfId="0" applyFont="1" applyFill="1" applyBorder="1" applyAlignment="1">
      <alignment horizontal="center" vertical="center"/>
    </xf>
    <xf numFmtId="4" fontId="44" fillId="20" borderId="13" xfId="0" applyNumberFormat="1" applyFont="1" applyFill="1" applyBorder="1" applyAlignment="1">
      <alignment horizontal="center" vertical="center"/>
    </xf>
    <xf numFmtId="4" fontId="44" fillId="20" borderId="31" xfId="0" applyNumberFormat="1" applyFont="1" applyFill="1" applyBorder="1" applyAlignment="1">
      <alignment horizontal="center" vertical="center"/>
    </xf>
    <xf numFmtId="4" fontId="44" fillId="20" borderId="41" xfId="0" applyNumberFormat="1" applyFont="1" applyFill="1" applyBorder="1" applyAlignment="1">
      <alignment horizontal="center" vertical="center"/>
    </xf>
    <xf numFmtId="0" fontId="44" fillId="20" borderId="1" xfId="0" applyFont="1" applyFill="1" applyBorder="1" applyAlignment="1">
      <alignment horizontal="center" vertical="center"/>
    </xf>
    <xf numFmtId="4" fontId="44" fillId="20" borderId="1" xfId="0" applyNumberFormat="1" applyFont="1" applyFill="1" applyBorder="1" applyAlignment="1">
      <alignment horizontal="center" vertical="center"/>
    </xf>
    <xf numFmtId="4" fontId="44" fillId="20" borderId="22" xfId="0" applyNumberFormat="1" applyFont="1" applyFill="1" applyBorder="1" applyAlignment="1">
      <alignment horizontal="center" vertical="center"/>
    </xf>
    <xf numFmtId="4" fontId="44" fillId="20" borderId="42" xfId="0" applyNumberFormat="1" applyFont="1" applyFill="1" applyBorder="1" applyAlignment="1">
      <alignment horizontal="center" vertical="center"/>
    </xf>
    <xf numFmtId="4" fontId="44" fillId="20" borderId="7" xfId="0" applyNumberFormat="1" applyFont="1" applyFill="1" applyBorder="1" applyAlignment="1">
      <alignment horizontal="center" vertical="center"/>
    </xf>
    <xf numFmtId="4" fontId="44" fillId="20" borderId="8" xfId="0" applyNumberFormat="1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/>
    </xf>
    <xf numFmtId="4" fontId="4" fillId="20" borderId="13" xfId="0" applyNumberFormat="1" applyFont="1" applyFill="1" applyBorder="1" applyAlignment="1">
      <alignment horizontal="center" vertical="center"/>
    </xf>
    <xf numFmtId="4" fontId="4" fillId="20" borderId="39" xfId="0" applyNumberFormat="1" applyFont="1" applyFill="1" applyBorder="1" applyAlignment="1">
      <alignment horizontal="center" vertical="center"/>
    </xf>
    <xf numFmtId="4" fontId="4" fillId="20" borderId="41" xfId="0" applyNumberFormat="1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center" vertical="center"/>
    </xf>
    <xf numFmtId="4" fontId="4" fillId="20" borderId="1" xfId="0" applyNumberFormat="1" applyFont="1" applyFill="1" applyBorder="1" applyAlignment="1">
      <alignment horizontal="center" vertical="center"/>
    </xf>
    <xf numFmtId="4" fontId="4" fillId="20" borderId="40" xfId="0" applyNumberFormat="1" applyFont="1" applyFill="1" applyBorder="1" applyAlignment="1">
      <alignment horizontal="center" vertical="center"/>
    </xf>
    <xf numFmtId="4" fontId="4" fillId="20" borderId="42" xfId="0" applyNumberFormat="1" applyFont="1" applyFill="1" applyBorder="1" applyAlignment="1">
      <alignment horizontal="center" vertical="center"/>
    </xf>
    <xf numFmtId="4" fontId="4" fillId="20" borderId="7" xfId="0" applyNumberFormat="1" applyFont="1" applyFill="1" applyBorder="1" applyAlignment="1">
      <alignment horizontal="center" vertical="center"/>
    </xf>
    <xf numFmtId="4" fontId="4" fillId="20" borderId="8" xfId="0" applyNumberFormat="1" applyFont="1" applyFill="1" applyBorder="1" applyAlignment="1">
      <alignment horizontal="center" vertical="center"/>
    </xf>
    <xf numFmtId="3" fontId="44" fillId="20" borderId="13" xfId="0" applyNumberFormat="1" applyFont="1" applyFill="1" applyBorder="1" applyAlignment="1">
      <alignment horizontal="center" vertical="center"/>
    </xf>
    <xf numFmtId="4" fontId="44" fillId="20" borderId="15" xfId="0" applyNumberFormat="1" applyFont="1" applyFill="1" applyBorder="1" applyAlignment="1">
      <alignment horizontal="center" vertical="center"/>
    </xf>
    <xf numFmtId="166" fontId="44" fillId="20" borderId="1" xfId="0" applyNumberFormat="1" applyFont="1" applyFill="1" applyBorder="1" applyAlignment="1">
      <alignment horizontal="center" vertical="center"/>
    </xf>
    <xf numFmtId="166" fontId="44" fillId="20" borderId="16" xfId="0" applyNumberFormat="1" applyFont="1" applyFill="1" applyBorder="1" applyAlignment="1">
      <alignment horizontal="center" vertical="center"/>
    </xf>
    <xf numFmtId="3" fontId="44" fillId="20" borderId="7" xfId="0" applyNumberFormat="1" applyFont="1" applyFill="1" applyBorder="1" applyAlignment="1">
      <alignment horizontal="center" vertical="center"/>
    </xf>
    <xf numFmtId="3" fontId="4" fillId="20" borderId="13" xfId="0" applyNumberFormat="1" applyFont="1" applyFill="1" applyBorder="1" applyAlignment="1">
      <alignment horizontal="center" vertical="center"/>
    </xf>
    <xf numFmtId="3" fontId="4" fillId="20" borderId="15" xfId="0" applyNumberFormat="1" applyFont="1" applyFill="1" applyBorder="1" applyAlignment="1">
      <alignment horizontal="center" vertical="center"/>
    </xf>
    <xf numFmtId="166" fontId="4" fillId="20" borderId="1" xfId="0" applyNumberFormat="1" applyFont="1" applyFill="1" applyBorder="1" applyAlignment="1">
      <alignment horizontal="center" vertical="center"/>
    </xf>
    <xf numFmtId="166" fontId="4" fillId="20" borderId="16" xfId="0" applyNumberFormat="1" applyFont="1" applyFill="1" applyBorder="1" applyAlignment="1">
      <alignment horizontal="center" vertical="center"/>
    </xf>
    <xf numFmtId="3" fontId="4" fillId="20" borderId="7" xfId="0" applyNumberFormat="1" applyFont="1" applyFill="1" applyBorder="1" applyAlignment="1">
      <alignment horizontal="center" vertical="center"/>
    </xf>
    <xf numFmtId="166" fontId="4" fillId="20" borderId="8" xfId="0" applyNumberFormat="1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/>
    </xf>
    <xf numFmtId="4" fontId="4" fillId="20" borderId="13" xfId="0" applyNumberFormat="1" applyFont="1" applyFill="1" applyBorder="1" applyAlignment="1">
      <alignment horizontal="center"/>
    </xf>
    <xf numFmtId="4" fontId="4" fillId="20" borderId="39" xfId="0" applyNumberFormat="1" applyFont="1" applyFill="1" applyBorder="1" applyAlignment="1">
      <alignment horizontal="center"/>
    </xf>
    <xf numFmtId="4" fontId="4" fillId="20" borderId="41" xfId="0" applyNumberFormat="1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4" fontId="4" fillId="20" borderId="1" xfId="0" applyNumberFormat="1" applyFont="1" applyFill="1" applyBorder="1" applyAlignment="1">
      <alignment horizontal="center"/>
    </xf>
    <xf numFmtId="4" fontId="4" fillId="20" borderId="40" xfId="0" applyNumberFormat="1" applyFont="1" applyFill="1" applyBorder="1" applyAlignment="1">
      <alignment horizontal="center"/>
    </xf>
    <xf numFmtId="4" fontId="4" fillId="20" borderId="42" xfId="0" applyNumberFormat="1" applyFont="1" applyFill="1" applyBorder="1" applyAlignment="1">
      <alignment horizontal="center"/>
    </xf>
    <xf numFmtId="4" fontId="4" fillId="20" borderId="7" xfId="0" applyNumberFormat="1" applyFont="1" applyFill="1" applyBorder="1" applyAlignment="1">
      <alignment horizontal="center"/>
    </xf>
    <xf numFmtId="4" fontId="4" fillId="20" borderId="8" xfId="0" applyNumberFormat="1" applyFont="1" applyFill="1" applyBorder="1" applyAlignment="1">
      <alignment horizontal="center"/>
    </xf>
    <xf numFmtId="0" fontId="87" fillId="0" borderId="0" xfId="0" applyFont="1" applyAlignment="1">
      <alignment vertical="center"/>
    </xf>
    <xf numFmtId="0" fontId="88" fillId="19" borderId="0" xfId="0" applyFont="1" applyFill="1" applyAlignment="1">
      <alignment horizontal="centerContinuous" vertical="center"/>
    </xf>
    <xf numFmtId="0" fontId="88" fillId="19" borderId="0" xfId="0" applyFont="1" applyFill="1" applyAlignment="1">
      <alignment vertical="center"/>
    </xf>
    <xf numFmtId="0" fontId="88" fillId="19" borderId="0" xfId="0" applyFont="1" applyFill="1" applyAlignment="1">
      <alignment horizontal="center" vertical="center"/>
    </xf>
    <xf numFmtId="164" fontId="88" fillId="19" borderId="0" xfId="0" applyNumberFormat="1" applyFont="1" applyFill="1" applyAlignment="1">
      <alignment horizontal="center" vertical="center"/>
    </xf>
    <xf numFmtId="0" fontId="50" fillId="21" borderId="0" xfId="2" applyFont="1" applyFill="1" applyAlignment="1">
      <alignment vertical="center"/>
    </xf>
    <xf numFmtId="0" fontId="89" fillId="0" borderId="18" xfId="2" applyFont="1" applyBorder="1" applyAlignment="1">
      <alignment horizontal="center" vertical="center"/>
    </xf>
    <xf numFmtId="2" fontId="50" fillId="0" borderId="60" xfId="2" applyNumberFormat="1" applyFont="1" applyBorder="1" applyAlignment="1">
      <alignment horizontal="center" vertical="center"/>
    </xf>
    <xf numFmtId="0" fontId="51" fillId="0" borderId="63" xfId="2" applyFont="1" applyBorder="1" applyAlignment="1">
      <alignment vertical="center"/>
    </xf>
    <xf numFmtId="164" fontId="51" fillId="0" borderId="63" xfId="2" applyNumberFormat="1" applyFont="1" applyBorder="1" applyAlignment="1">
      <alignment horizontal="center" vertical="center"/>
    </xf>
    <xf numFmtId="4" fontId="50" fillId="0" borderId="20" xfId="2" applyNumberFormat="1" applyFont="1" applyBorder="1" applyAlignment="1">
      <alignment horizontal="center" vertical="center"/>
    </xf>
    <xf numFmtId="2" fontId="50" fillId="0" borderId="20" xfId="2" applyNumberFormat="1" applyFont="1" applyBorder="1" applyAlignment="1">
      <alignment horizontal="center" vertical="center"/>
    </xf>
    <xf numFmtId="4" fontId="50" fillId="0" borderId="20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81" fillId="22" borderId="0" xfId="0" applyNumberFormat="1" applyFont="1" applyFill="1" applyAlignment="1" applyProtection="1">
      <alignment horizontal="center" vertical="center"/>
      <protection locked="0"/>
    </xf>
    <xf numFmtId="0" fontId="83" fillId="22" borderId="0" xfId="4" applyFont="1" applyFill="1" applyAlignment="1" applyProtection="1">
      <alignment horizontal="center" vertical="center"/>
      <protection locked="0"/>
    </xf>
    <xf numFmtId="0" fontId="86" fillId="22" borderId="20" xfId="5" applyFont="1" applyFill="1" applyBorder="1" applyAlignment="1" applyProtection="1">
      <alignment horizontal="center" vertical="center"/>
      <protection locked="0"/>
    </xf>
    <xf numFmtId="10" fontId="77" fillId="0" borderId="0" xfId="4" applyNumberFormat="1" applyFont="1" applyAlignment="1">
      <alignment horizontal="center" vertical="center"/>
    </xf>
    <xf numFmtId="4" fontId="81" fillId="22" borderId="0" xfId="0" applyNumberFormat="1" applyFont="1" applyFill="1" applyAlignment="1">
      <alignment horizontal="center" vertical="center"/>
    </xf>
    <xf numFmtId="0" fontId="53" fillId="23" borderId="20" xfId="0" applyFont="1" applyFill="1" applyBorder="1" applyAlignment="1">
      <alignment horizontal="left" vertical="center" indent="1"/>
    </xf>
    <xf numFmtId="0" fontId="81" fillId="22" borderId="0" xfId="0" applyFont="1" applyFill="1" applyAlignment="1">
      <alignment horizontal="center" vertical="center"/>
    </xf>
    <xf numFmtId="0" fontId="80" fillId="19" borderId="0" xfId="4" applyFont="1" applyFill="1" applyAlignment="1">
      <alignment horizontal="center" vertical="center"/>
    </xf>
    <xf numFmtId="4" fontId="52" fillId="22" borderId="20" xfId="0" applyNumberFormat="1" applyFont="1" applyFill="1" applyBorder="1" applyAlignment="1" applyProtection="1">
      <alignment horizontal="center" vertical="center"/>
      <protection locked="0"/>
    </xf>
    <xf numFmtId="0" fontId="52" fillId="22" borderId="20" xfId="2" applyFont="1" applyFill="1" applyBorder="1" applyAlignment="1" applyProtection="1">
      <alignment horizontal="center" vertical="center"/>
      <protection locked="0"/>
    </xf>
    <xf numFmtId="166" fontId="52" fillId="22" borderId="20" xfId="0" applyNumberFormat="1" applyFont="1" applyFill="1" applyBorder="1" applyAlignment="1" applyProtection="1">
      <alignment horizontal="center" vertical="center"/>
      <protection locked="0"/>
    </xf>
    <xf numFmtId="0" fontId="53" fillId="23" borderId="0" xfId="2" applyFont="1" applyFill="1" applyAlignment="1">
      <alignment vertical="center"/>
    </xf>
    <xf numFmtId="0" fontId="53" fillId="23" borderId="0" xfId="2" applyFont="1" applyFill="1" applyAlignment="1">
      <alignment horizontal="center" vertical="center"/>
    </xf>
    <xf numFmtId="0" fontId="53" fillId="19" borderId="18" xfId="2" applyFont="1" applyFill="1" applyBorder="1" applyAlignment="1">
      <alignment horizontal="center" vertical="center"/>
    </xf>
    <xf numFmtId="165" fontId="52" fillId="22" borderId="20" xfId="2" applyNumberFormat="1" applyFont="1" applyFill="1" applyBorder="1" applyAlignment="1" applyProtection="1">
      <alignment horizontal="center" vertical="center"/>
      <protection locked="0"/>
    </xf>
    <xf numFmtId="165" fontId="86" fillId="22" borderId="20" xfId="2" applyNumberFormat="1" applyFont="1" applyFill="1" applyBorder="1" applyAlignment="1" applyProtection="1">
      <alignment horizontal="center" vertical="center"/>
      <protection locked="0"/>
    </xf>
    <xf numFmtId="0" fontId="53" fillId="23" borderId="18" xfId="2" applyFont="1" applyFill="1" applyBorder="1" applyAlignment="1">
      <alignment horizontal="center" vertical="center"/>
    </xf>
    <xf numFmtId="0" fontId="90" fillId="0" borderId="77" xfId="3" applyFont="1" applyBorder="1" applyAlignment="1">
      <alignment horizontal="center" vertical="center"/>
    </xf>
    <xf numFmtId="0" fontId="90" fillId="0" borderId="78" xfId="3" applyFont="1" applyBorder="1" applyAlignment="1">
      <alignment horizontal="center" vertical="center"/>
    </xf>
    <xf numFmtId="0" fontId="90" fillId="0" borderId="7" xfId="3" applyFont="1" applyBorder="1" applyAlignment="1">
      <alignment horizontal="center" vertical="center"/>
    </xf>
    <xf numFmtId="0" fontId="53" fillId="24" borderId="20" xfId="2" applyFont="1" applyFill="1" applyBorder="1" applyAlignment="1">
      <alignment horizontal="center" vertical="center"/>
    </xf>
    <xf numFmtId="0" fontId="53" fillId="24" borderId="0" xfId="2" applyFont="1" applyFill="1" applyAlignment="1">
      <alignment horizontal="center" vertical="center"/>
    </xf>
    <xf numFmtId="0" fontId="91" fillId="0" borderId="7" xfId="3" applyFont="1" applyBorder="1" applyAlignment="1">
      <alignment horizontal="center" vertical="center"/>
    </xf>
    <xf numFmtId="0" fontId="53" fillId="25" borderId="20" xfId="2" applyFont="1" applyFill="1" applyBorder="1" applyAlignment="1">
      <alignment horizontal="center" vertical="center"/>
    </xf>
    <xf numFmtId="0" fontId="53" fillId="26" borderId="20" xfId="2" applyFont="1" applyFill="1" applyBorder="1" applyAlignment="1">
      <alignment horizontal="center" vertical="center"/>
    </xf>
    <xf numFmtId="0" fontId="53" fillId="23" borderId="2" xfId="2" applyFont="1" applyFill="1" applyBorder="1" applyAlignment="1">
      <alignment horizontal="left" vertical="center"/>
    </xf>
    <xf numFmtId="0" fontId="53" fillId="23" borderId="5" xfId="2" applyFont="1" applyFill="1" applyBorder="1" applyAlignment="1">
      <alignment horizontal="left" vertical="center"/>
    </xf>
    <xf numFmtId="0" fontId="53" fillId="23" borderId="3" xfId="2" applyFont="1" applyFill="1" applyBorder="1" applyAlignment="1">
      <alignment vertical="center"/>
    </xf>
    <xf numFmtId="0" fontId="52" fillId="22" borderId="60" xfId="0" applyFont="1" applyFill="1" applyBorder="1" applyAlignment="1" applyProtection="1">
      <alignment horizontal="center" vertical="center"/>
      <protection locked="0"/>
    </xf>
    <xf numFmtId="0" fontId="52" fillId="22" borderId="60" xfId="0" applyFont="1" applyFill="1" applyBorder="1" applyAlignment="1">
      <alignment horizontal="center" vertical="center"/>
    </xf>
    <xf numFmtId="165" fontId="39" fillId="0" borderId="0" xfId="1" applyNumberFormat="1" applyFont="1" applyAlignment="1">
      <alignment horizontal="center" vertical="center"/>
    </xf>
    <xf numFmtId="0" fontId="39" fillId="0" borderId="0" xfId="0" applyFont="1" applyAlignment="1">
      <alignment horizontal="left" vertical="center" indent="1"/>
    </xf>
    <xf numFmtId="2" fontId="39" fillId="0" borderId="0" xfId="0" applyNumberFormat="1" applyFont="1" applyAlignment="1">
      <alignment horizontal="center" vertical="center"/>
    </xf>
    <xf numFmtId="0" fontId="92" fillId="22" borderId="0" xfId="0" applyFont="1" applyFill="1" applyAlignment="1">
      <alignment horizontal="center"/>
    </xf>
    <xf numFmtId="0" fontId="52" fillId="22" borderId="20" xfId="2" applyFont="1" applyFill="1" applyBorder="1" applyAlignment="1">
      <alignment horizontal="center" vertical="center"/>
    </xf>
    <xf numFmtId="0" fontId="1" fillId="20" borderId="18" xfId="0" applyFont="1" applyFill="1" applyBorder="1" applyAlignment="1">
      <alignment horizontal="left" vertical="center" indent="1"/>
    </xf>
    <xf numFmtId="3" fontId="0" fillId="0" borderId="0" xfId="0" applyNumberFormat="1" applyAlignment="1">
      <alignment vertical="center"/>
    </xf>
    <xf numFmtId="4" fontId="81" fillId="22" borderId="0" xfId="4" applyNumberFormat="1" applyFont="1" applyFill="1" applyAlignment="1" applyProtection="1">
      <alignment horizontal="center" vertical="center"/>
      <protection locked="0"/>
    </xf>
    <xf numFmtId="10" fontId="81" fillId="22" borderId="0" xfId="4" applyNumberFormat="1" applyFont="1" applyFill="1" applyAlignment="1" applyProtection="1">
      <alignment horizontal="center" vertical="center"/>
      <protection locked="0"/>
    </xf>
    <xf numFmtId="0" fontId="73" fillId="0" borderId="21" xfId="0" applyFont="1" applyBorder="1" applyAlignment="1">
      <alignment horizontal="justify" vertical="justify" wrapText="1"/>
    </xf>
    <xf numFmtId="0" fontId="73" fillId="0" borderId="52" xfId="0" applyFont="1" applyBorder="1" applyAlignment="1">
      <alignment horizontal="justify" vertical="justify" wrapText="1"/>
    </xf>
    <xf numFmtId="0" fontId="73" fillId="0" borderId="61" xfId="0" applyFont="1" applyBorder="1" applyAlignment="1">
      <alignment horizontal="justify" vertical="justify" wrapText="1"/>
    </xf>
    <xf numFmtId="0" fontId="73" fillId="0" borderId="54" xfId="0" applyFont="1" applyBorder="1" applyAlignment="1">
      <alignment horizontal="justify" vertical="justify" wrapText="1"/>
    </xf>
    <xf numFmtId="0" fontId="73" fillId="0" borderId="55" xfId="0" applyFont="1" applyBorder="1" applyAlignment="1">
      <alignment horizontal="justify" vertical="justify" wrapText="1"/>
    </xf>
    <xf numFmtId="0" fontId="73" fillId="0" borderId="64" xfId="0" applyFont="1" applyBorder="1" applyAlignment="1">
      <alignment horizontal="justify" vertical="justify" wrapText="1"/>
    </xf>
    <xf numFmtId="0" fontId="67" fillId="19" borderId="37" xfId="0" applyFont="1" applyFill="1" applyBorder="1" applyAlignment="1">
      <alignment horizontal="center" vertical="center"/>
    </xf>
    <xf numFmtId="0" fontId="68" fillId="19" borderId="13" xfId="0" applyFont="1" applyFill="1" applyBorder="1" applyAlignment="1">
      <alignment horizontal="center" vertical="center"/>
    </xf>
    <xf numFmtId="0" fontId="68" fillId="19" borderId="29" xfId="0" applyFont="1" applyFill="1" applyBorder="1" applyAlignment="1">
      <alignment horizontal="center" vertical="center"/>
    </xf>
    <xf numFmtId="0" fontId="68" fillId="19" borderId="1" xfId="0" applyFont="1" applyFill="1" applyBorder="1" applyAlignment="1">
      <alignment horizontal="center" vertical="center"/>
    </xf>
    <xf numFmtId="0" fontId="67" fillId="19" borderId="65" xfId="0" applyFont="1" applyFill="1" applyBorder="1" applyAlignment="1">
      <alignment horizontal="center" vertical="center" wrapText="1"/>
    </xf>
    <xf numFmtId="0" fontId="67" fillId="19" borderId="66" xfId="0" applyFont="1" applyFill="1" applyBorder="1" applyAlignment="1">
      <alignment horizontal="center" vertical="center" wrapText="1"/>
    </xf>
    <xf numFmtId="0" fontId="67" fillId="19" borderId="58" xfId="0" applyFont="1" applyFill="1" applyBorder="1" applyAlignment="1">
      <alignment horizontal="center" vertical="center" wrapText="1"/>
    </xf>
    <xf numFmtId="0" fontId="67" fillId="19" borderId="30" xfId="0" applyFont="1" applyFill="1" applyBorder="1" applyAlignment="1">
      <alignment horizontal="center" vertical="center" wrapText="1"/>
    </xf>
    <xf numFmtId="0" fontId="69" fillId="0" borderId="18" xfId="0" applyFont="1" applyBorder="1" applyAlignment="1">
      <alignment horizontal="justify" vertical="center" wrapText="1"/>
    </xf>
    <xf numFmtId="0" fontId="69" fillId="0" borderId="19" xfId="0" applyFont="1" applyBorder="1" applyAlignment="1">
      <alignment horizontal="justify" vertical="center" wrapText="1"/>
    </xf>
    <xf numFmtId="0" fontId="69" fillId="0" borderId="57" xfId="0" applyFont="1" applyBorder="1" applyAlignment="1">
      <alignment horizontal="justify" vertical="center" wrapText="1"/>
    </xf>
    <xf numFmtId="0" fontId="29" fillId="0" borderId="37" xfId="0" applyFont="1" applyBorder="1" applyAlignment="1">
      <alignment horizontal="center" vertical="center"/>
    </xf>
    <xf numFmtId="0" fontId="29" fillId="0" borderId="6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44" fillId="20" borderId="37" xfId="0" applyFont="1" applyFill="1" applyBorder="1" applyAlignment="1">
      <alignment horizontal="center" vertical="center" wrapText="1"/>
    </xf>
    <xf numFmtId="0" fontId="44" fillId="20" borderId="29" xfId="0" applyFont="1" applyFill="1" applyBorder="1" applyAlignment="1">
      <alignment horizontal="center" vertical="center" wrapText="1"/>
    </xf>
    <xf numFmtId="0" fontId="4" fillId="20" borderId="37" xfId="0" applyFont="1" applyFill="1" applyBorder="1" applyAlignment="1">
      <alignment horizontal="center" vertical="center" wrapText="1"/>
    </xf>
    <xf numFmtId="0" fontId="4" fillId="20" borderId="29" xfId="0" applyFont="1" applyFill="1" applyBorder="1" applyAlignment="1">
      <alignment horizontal="center" vertical="center" wrapText="1"/>
    </xf>
    <xf numFmtId="0" fontId="41" fillId="19" borderId="69" xfId="0" applyFont="1" applyFill="1" applyBorder="1" applyAlignment="1">
      <alignment horizontal="center" vertical="center" wrapText="1"/>
    </xf>
    <xf numFmtId="0" fontId="41" fillId="19" borderId="70" xfId="0" applyFont="1" applyFill="1" applyBorder="1" applyAlignment="1">
      <alignment horizontal="center" vertical="center" wrapText="1"/>
    </xf>
    <xf numFmtId="0" fontId="4" fillId="20" borderId="37" xfId="0" applyFont="1" applyFill="1" applyBorder="1" applyAlignment="1">
      <alignment horizontal="center" wrapText="1"/>
    </xf>
    <xf numFmtId="0" fontId="4" fillId="20" borderId="29" xfId="0" applyFont="1" applyFill="1" applyBorder="1" applyAlignment="1">
      <alignment horizontal="center" wrapText="1"/>
    </xf>
    <xf numFmtId="0" fontId="41" fillId="19" borderId="37" xfId="0" applyFont="1" applyFill="1" applyBorder="1" applyAlignment="1">
      <alignment horizontal="center" wrapText="1"/>
    </xf>
    <xf numFmtId="0" fontId="41" fillId="19" borderId="29" xfId="0" applyFont="1" applyFill="1" applyBorder="1" applyAlignment="1">
      <alignment horizontal="center" wrapText="1"/>
    </xf>
  </cellXfs>
  <cellStyles count="6">
    <cellStyle name="Hipervínculo" xfId="3" builtinId="8"/>
    <cellStyle name="Normal" xfId="0" builtinId="0"/>
    <cellStyle name="Normal 2" xfId="2" xr:uid="{498CA153-F7CA-492E-8656-8EDA69C1EEA4}"/>
    <cellStyle name="Normal 2 2" xfId="5" xr:uid="{CF796BA3-6CCD-4D7F-985E-2A68116575E2}"/>
    <cellStyle name="Normal 4" xfId="4" xr:uid="{AFDD3CA9-0DF0-476C-AB54-F47C1BED80E6}"/>
    <cellStyle name="Porcentaje" xfId="1" builtinId="5"/>
  </cellStyles>
  <dxfs count="23">
    <dxf>
      <fill>
        <patternFill>
          <bgColor rgb="FFEBECC4"/>
        </patternFill>
      </fill>
    </dxf>
    <dxf>
      <fill>
        <patternFill>
          <bgColor rgb="FFEBECC4"/>
        </patternFill>
      </fill>
    </dxf>
    <dxf>
      <fill>
        <patternFill>
          <bgColor indexed="43"/>
        </patternFill>
      </fill>
    </dxf>
    <dxf>
      <fill>
        <patternFill>
          <bgColor indexed="51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b/>
        <i val="0"/>
        <color theme="0"/>
      </font>
      <fill>
        <patternFill>
          <bgColor rgb="FF000099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80008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b/>
        <i val="0"/>
        <color theme="0"/>
      </font>
      <fill>
        <patternFill>
          <bgColor rgb="FF000099"/>
        </patternFill>
      </fill>
    </dxf>
    <dxf>
      <font>
        <b/>
        <i val="0"/>
        <color theme="0"/>
      </font>
      <fill>
        <patternFill>
          <bgColor rgb="FF80008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4D4B34"/>
        </patternFill>
      </fill>
    </dxf>
    <dxf>
      <font>
        <b/>
        <i val="0"/>
        <color theme="0"/>
      </font>
      <fill>
        <patternFill>
          <bgColor rgb="FF4D4B34"/>
        </patternFill>
      </fill>
    </dxf>
    <dxf>
      <font>
        <b/>
        <i val="0"/>
        <color rgb="FFFFFF1D"/>
      </font>
      <fill>
        <patternFill>
          <bgColor rgb="FF0000CC"/>
        </patternFill>
      </fill>
    </dxf>
  </dxfs>
  <tableStyles count="0" defaultTableStyle="TableStyleMedium2" defaultPivotStyle="PivotStyleLight16"/>
  <colors>
    <mruColors>
      <color rgb="FF57A354"/>
      <color rgb="FF0000CC"/>
      <color rgb="FFA9A389"/>
      <color rgb="FF4D4B34"/>
      <color rgb="FF800080"/>
      <color rgb="FFFF6600"/>
      <color rgb="FFCC00CC"/>
      <color rgb="FF9900CC"/>
      <color rgb="FF993300"/>
      <color rgb="FFFFFF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10</xdr:col>
      <xdr:colOff>531950</xdr:colOff>
      <xdr:row>28</xdr:row>
      <xdr:rowOff>28950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2B33618B-0686-3117-4FCB-6ECDA0B56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50" y="95250"/>
          <a:ext cx="7942400" cy="4467600"/>
        </a:xfrm>
        <a:prstGeom prst="rect">
          <a:avLst/>
        </a:prstGeom>
      </xdr:spPr>
    </xdr:pic>
    <xdr:clientData/>
  </xdr:twoCellAnchor>
  <xdr:twoCellAnchor>
    <xdr:from>
      <xdr:col>13</xdr:col>
      <xdr:colOff>60325</xdr:colOff>
      <xdr:row>0</xdr:row>
      <xdr:rowOff>107950</xdr:rowOff>
    </xdr:from>
    <xdr:to>
      <xdr:col>13</xdr:col>
      <xdr:colOff>269125</xdr:colOff>
      <xdr:row>1</xdr:row>
      <xdr:rowOff>154019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77257B92-74AC-FC4F-39F2-F7EA57D2CBA6}"/>
            </a:ext>
          </a:extLst>
        </xdr:cNvPr>
        <xdr:cNvSpPr/>
      </xdr:nvSpPr>
      <xdr:spPr>
        <a:xfrm>
          <a:off x="9966325" y="107950"/>
          <a:ext cx="208800" cy="207994"/>
        </a:xfrm>
        <a:prstGeom prst="ellipse">
          <a:avLst/>
        </a:prstGeom>
        <a:solidFill>
          <a:srgbClr val="34507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13</xdr:col>
      <xdr:colOff>363422</xdr:colOff>
      <xdr:row>0</xdr:row>
      <xdr:rowOff>95250</xdr:rowOff>
    </xdr:from>
    <xdr:to>
      <xdr:col>13</xdr:col>
      <xdr:colOff>572222</xdr:colOff>
      <xdr:row>1</xdr:row>
      <xdr:rowOff>141319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3996240B-5BD9-0232-3F84-80250C3DA12A}"/>
            </a:ext>
          </a:extLst>
        </xdr:cNvPr>
        <xdr:cNvSpPr/>
      </xdr:nvSpPr>
      <xdr:spPr>
        <a:xfrm>
          <a:off x="10269422" y="95250"/>
          <a:ext cx="208800" cy="207994"/>
        </a:xfrm>
        <a:prstGeom prst="ellipse">
          <a:avLst/>
        </a:prstGeom>
        <a:solidFill>
          <a:srgbClr val="57A35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11</xdr:col>
      <xdr:colOff>142875</xdr:colOff>
      <xdr:row>0</xdr:row>
      <xdr:rowOff>98425</xdr:rowOff>
    </xdr:from>
    <xdr:to>
      <xdr:col>11</xdr:col>
      <xdr:colOff>351675</xdr:colOff>
      <xdr:row>1</xdr:row>
      <xdr:rowOff>144494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98474DF9-4137-07B8-784A-58AD59A9EDA6}"/>
            </a:ext>
          </a:extLst>
        </xdr:cNvPr>
        <xdr:cNvSpPr/>
      </xdr:nvSpPr>
      <xdr:spPr>
        <a:xfrm>
          <a:off x="8524875" y="98425"/>
          <a:ext cx="208800" cy="207994"/>
        </a:xfrm>
        <a:prstGeom prst="ellipse">
          <a:avLst/>
        </a:prstGeom>
        <a:solidFill>
          <a:srgbClr val="8293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11</xdr:col>
      <xdr:colOff>495300</xdr:colOff>
      <xdr:row>0</xdr:row>
      <xdr:rowOff>98425</xdr:rowOff>
    </xdr:from>
    <xdr:to>
      <xdr:col>11</xdr:col>
      <xdr:colOff>704100</xdr:colOff>
      <xdr:row>1</xdr:row>
      <xdr:rowOff>144494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3FA738E6-46CB-B451-9AE5-C17AF9981753}"/>
            </a:ext>
          </a:extLst>
        </xdr:cNvPr>
        <xdr:cNvSpPr/>
      </xdr:nvSpPr>
      <xdr:spPr>
        <a:xfrm>
          <a:off x="8877300" y="98425"/>
          <a:ext cx="208800" cy="207994"/>
        </a:xfrm>
        <a:prstGeom prst="ellipse">
          <a:avLst/>
        </a:prstGeom>
        <a:solidFill>
          <a:srgbClr val="A9A38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12</xdr:col>
      <xdr:colOff>76200</xdr:colOff>
      <xdr:row>0</xdr:row>
      <xdr:rowOff>98425</xdr:rowOff>
    </xdr:from>
    <xdr:to>
      <xdr:col>12</xdr:col>
      <xdr:colOff>285000</xdr:colOff>
      <xdr:row>1</xdr:row>
      <xdr:rowOff>144494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47A106AF-152A-A2BE-0B6E-2B881F2ED3F6}"/>
            </a:ext>
          </a:extLst>
        </xdr:cNvPr>
        <xdr:cNvSpPr/>
      </xdr:nvSpPr>
      <xdr:spPr>
        <a:xfrm>
          <a:off x="9220200" y="98425"/>
          <a:ext cx="208800" cy="207994"/>
        </a:xfrm>
        <a:prstGeom prst="ellipse">
          <a:avLst/>
        </a:prstGeom>
        <a:solidFill>
          <a:srgbClr val="EBEC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12</xdr:col>
      <xdr:colOff>485775</xdr:colOff>
      <xdr:row>0</xdr:row>
      <xdr:rowOff>107950</xdr:rowOff>
    </xdr:from>
    <xdr:to>
      <xdr:col>12</xdr:col>
      <xdr:colOff>694575</xdr:colOff>
      <xdr:row>1</xdr:row>
      <xdr:rowOff>154019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6AFC4568-F83A-9179-6C03-D9C71B23FF2F}"/>
            </a:ext>
          </a:extLst>
        </xdr:cNvPr>
        <xdr:cNvSpPr/>
      </xdr:nvSpPr>
      <xdr:spPr>
        <a:xfrm>
          <a:off x="9629775" y="107950"/>
          <a:ext cx="208800" cy="207994"/>
        </a:xfrm>
        <a:prstGeom prst="ellipse">
          <a:avLst/>
        </a:prstGeom>
        <a:solidFill>
          <a:srgbClr val="4D4B3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>
            <a:solidFill>
              <a:srgbClr val="FFFFFF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285750</xdr:colOff>
      <xdr:row>4</xdr:row>
      <xdr:rowOff>114300</xdr:rowOff>
    </xdr:from>
    <xdr:to>
      <xdr:col>23</xdr:col>
      <xdr:colOff>638175</xdr:colOff>
      <xdr:row>8</xdr:row>
      <xdr:rowOff>66675</xdr:rowOff>
    </xdr:to>
    <xdr:sp macro="" textlink="">
      <xdr:nvSpPr>
        <xdr:cNvPr id="2" name="Cerrar llave 1">
          <a:extLst>
            <a:ext uri="{FF2B5EF4-FFF2-40B4-BE49-F238E27FC236}">
              <a16:creationId xmlns:a16="http://schemas.microsoft.com/office/drawing/2014/main" id="{665D7128-B302-7C02-003A-FE41399FBDB4}"/>
            </a:ext>
          </a:extLst>
        </xdr:cNvPr>
        <xdr:cNvSpPr/>
      </xdr:nvSpPr>
      <xdr:spPr bwMode="auto">
        <a:xfrm>
          <a:off x="16954500" y="1104900"/>
          <a:ext cx="352425" cy="942975"/>
        </a:xfrm>
        <a:prstGeom prst="rightBrace">
          <a:avLst>
            <a:gd name="adj1" fmla="val 8333"/>
            <a:gd name="adj2" fmla="val 7020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15</xdr:col>
      <xdr:colOff>600075</xdr:colOff>
      <xdr:row>6</xdr:row>
      <xdr:rowOff>180975</xdr:rowOff>
    </xdr:from>
    <xdr:to>
      <xdr:col>16</xdr:col>
      <xdr:colOff>400050</xdr:colOff>
      <xdr:row>8</xdr:row>
      <xdr:rowOff>95250</xdr:rowOff>
    </xdr:to>
    <xdr:sp macro="" textlink="">
      <xdr:nvSpPr>
        <xdr:cNvPr id="3" name="Flecha: hacia abajo 2">
          <a:extLst>
            <a:ext uri="{FF2B5EF4-FFF2-40B4-BE49-F238E27FC236}">
              <a16:creationId xmlns:a16="http://schemas.microsoft.com/office/drawing/2014/main" id="{01E21B2F-384C-438A-8916-46A966550681}"/>
            </a:ext>
          </a:extLst>
        </xdr:cNvPr>
        <xdr:cNvSpPr/>
      </xdr:nvSpPr>
      <xdr:spPr bwMode="auto">
        <a:xfrm>
          <a:off x="11382375" y="1666875"/>
          <a:ext cx="800100" cy="409575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13</xdr:col>
      <xdr:colOff>66675</xdr:colOff>
      <xdr:row>6</xdr:row>
      <xdr:rowOff>228600</xdr:rowOff>
    </xdr:from>
    <xdr:to>
      <xdr:col>13</xdr:col>
      <xdr:colOff>930675</xdr:colOff>
      <xdr:row>10</xdr:row>
      <xdr:rowOff>30000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1019ACD9-B2F9-5443-6157-543A199ABFB7}"/>
            </a:ext>
          </a:extLst>
        </xdr:cNvPr>
        <xdr:cNvSpPr/>
      </xdr:nvSpPr>
      <xdr:spPr bwMode="auto">
        <a:xfrm>
          <a:off x="8848725" y="1714500"/>
          <a:ext cx="864000" cy="792000"/>
        </a:xfrm>
        <a:prstGeom prst="ellipse">
          <a:avLst/>
        </a:prstGeom>
        <a:noFill/>
        <a:ln w="38100" cap="flat" cmpd="sng" algn="ctr">
          <a:solidFill>
            <a:srgbClr val="9900CC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13</xdr:col>
      <xdr:colOff>47625</xdr:colOff>
      <xdr:row>16</xdr:row>
      <xdr:rowOff>228600</xdr:rowOff>
    </xdr:from>
    <xdr:to>
      <xdr:col>13</xdr:col>
      <xdr:colOff>911625</xdr:colOff>
      <xdr:row>20</xdr:row>
      <xdr:rowOff>30000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309A4492-C7E3-49B7-B69B-DA880D57230D}"/>
            </a:ext>
          </a:extLst>
        </xdr:cNvPr>
        <xdr:cNvSpPr/>
      </xdr:nvSpPr>
      <xdr:spPr bwMode="auto">
        <a:xfrm>
          <a:off x="8829675" y="4191000"/>
          <a:ext cx="864000" cy="792000"/>
        </a:xfrm>
        <a:prstGeom prst="ellipse">
          <a:avLst/>
        </a:prstGeom>
        <a:noFill/>
        <a:ln w="38100" cap="flat" cmpd="sng" algn="ctr">
          <a:solidFill>
            <a:srgbClr val="9933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14</xdr:col>
      <xdr:colOff>66675</xdr:colOff>
      <xdr:row>16</xdr:row>
      <xdr:rowOff>219075</xdr:rowOff>
    </xdr:from>
    <xdr:to>
      <xdr:col>14</xdr:col>
      <xdr:colOff>930675</xdr:colOff>
      <xdr:row>20</xdr:row>
      <xdr:rowOff>20475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B8667D36-1359-4577-B3A6-3D7C46801570}"/>
            </a:ext>
          </a:extLst>
        </xdr:cNvPr>
        <xdr:cNvSpPr/>
      </xdr:nvSpPr>
      <xdr:spPr bwMode="auto">
        <a:xfrm>
          <a:off x="9848850" y="4181475"/>
          <a:ext cx="864000" cy="792000"/>
        </a:xfrm>
        <a:prstGeom prst="ellipse">
          <a:avLst/>
        </a:prstGeom>
        <a:noFill/>
        <a:ln w="38100" cap="flat" cmpd="sng" algn="ctr">
          <a:solidFill>
            <a:srgbClr val="9933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15</xdr:col>
      <xdr:colOff>66675</xdr:colOff>
      <xdr:row>16</xdr:row>
      <xdr:rowOff>228600</xdr:rowOff>
    </xdr:from>
    <xdr:to>
      <xdr:col>15</xdr:col>
      <xdr:colOff>930675</xdr:colOff>
      <xdr:row>20</xdr:row>
      <xdr:rowOff>30000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A4726C93-2F6F-4DF1-B558-EE5F1D027E37}"/>
            </a:ext>
          </a:extLst>
        </xdr:cNvPr>
        <xdr:cNvSpPr/>
      </xdr:nvSpPr>
      <xdr:spPr bwMode="auto">
        <a:xfrm>
          <a:off x="10848975" y="4191000"/>
          <a:ext cx="864000" cy="792000"/>
        </a:xfrm>
        <a:prstGeom prst="ellipse">
          <a:avLst/>
        </a:prstGeom>
        <a:noFill/>
        <a:ln w="38100" cap="flat" cmpd="sng" algn="ctr">
          <a:solidFill>
            <a:srgbClr val="9933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13</xdr:col>
      <xdr:colOff>57150</xdr:colOff>
      <xdr:row>26</xdr:row>
      <xdr:rowOff>219075</xdr:rowOff>
    </xdr:from>
    <xdr:to>
      <xdr:col>13</xdr:col>
      <xdr:colOff>921150</xdr:colOff>
      <xdr:row>30</xdr:row>
      <xdr:rowOff>20475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20DC0D1A-FBA4-4348-A694-5AA75ABFE656}"/>
            </a:ext>
          </a:extLst>
        </xdr:cNvPr>
        <xdr:cNvSpPr/>
      </xdr:nvSpPr>
      <xdr:spPr bwMode="auto">
        <a:xfrm>
          <a:off x="8839200" y="6657975"/>
          <a:ext cx="864000" cy="792000"/>
        </a:xfrm>
        <a:prstGeom prst="ellipse">
          <a:avLst/>
        </a:prstGeom>
        <a:noFill/>
        <a:ln w="38100" cap="flat" cmpd="sng" algn="ctr">
          <a:solidFill>
            <a:srgbClr val="CC00CC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22</xdr:col>
      <xdr:colOff>57150</xdr:colOff>
      <xdr:row>9</xdr:row>
      <xdr:rowOff>228600</xdr:rowOff>
    </xdr:from>
    <xdr:to>
      <xdr:col>22</xdr:col>
      <xdr:colOff>921150</xdr:colOff>
      <xdr:row>13</xdr:row>
      <xdr:rowOff>30000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BF51E9B9-1B4B-44C6-B51B-1AE439CAA467}"/>
            </a:ext>
          </a:extLst>
        </xdr:cNvPr>
        <xdr:cNvSpPr/>
      </xdr:nvSpPr>
      <xdr:spPr bwMode="auto">
        <a:xfrm>
          <a:off x="15925800" y="2457450"/>
          <a:ext cx="864000" cy="792000"/>
        </a:xfrm>
        <a:prstGeom prst="ellipse">
          <a:avLst/>
        </a:prstGeom>
        <a:noFill/>
        <a:ln w="38100" cap="flat" cmpd="sng" algn="ctr">
          <a:solidFill>
            <a:srgbClr val="9933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23</xdr:col>
      <xdr:colOff>47625</xdr:colOff>
      <xdr:row>9</xdr:row>
      <xdr:rowOff>219075</xdr:rowOff>
    </xdr:from>
    <xdr:to>
      <xdr:col>23</xdr:col>
      <xdr:colOff>911625</xdr:colOff>
      <xdr:row>13</xdr:row>
      <xdr:rowOff>20475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5EDC3583-CB71-40EB-A622-8248D031BF42}"/>
            </a:ext>
          </a:extLst>
        </xdr:cNvPr>
        <xdr:cNvSpPr/>
      </xdr:nvSpPr>
      <xdr:spPr bwMode="auto">
        <a:xfrm>
          <a:off x="16916400" y="2447925"/>
          <a:ext cx="864000" cy="792000"/>
        </a:xfrm>
        <a:prstGeom prst="ellipse">
          <a:avLst/>
        </a:prstGeom>
        <a:noFill/>
        <a:ln w="38100" cap="flat" cmpd="sng" algn="ctr">
          <a:solidFill>
            <a:srgbClr val="9933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24</xdr:col>
      <xdr:colOff>66675</xdr:colOff>
      <xdr:row>9</xdr:row>
      <xdr:rowOff>219075</xdr:rowOff>
    </xdr:from>
    <xdr:to>
      <xdr:col>24</xdr:col>
      <xdr:colOff>930675</xdr:colOff>
      <xdr:row>13</xdr:row>
      <xdr:rowOff>20475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8EFAB4AA-79A2-4A98-AD0C-6592AD72E39C}"/>
            </a:ext>
          </a:extLst>
        </xdr:cNvPr>
        <xdr:cNvSpPr/>
      </xdr:nvSpPr>
      <xdr:spPr bwMode="auto">
        <a:xfrm>
          <a:off x="17935575" y="2447925"/>
          <a:ext cx="864000" cy="792000"/>
        </a:xfrm>
        <a:prstGeom prst="ellipse">
          <a:avLst/>
        </a:prstGeom>
        <a:noFill/>
        <a:ln w="38100" cap="flat" cmpd="sng" algn="ctr">
          <a:solidFill>
            <a:srgbClr val="9933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22</xdr:col>
      <xdr:colOff>57150</xdr:colOff>
      <xdr:row>17</xdr:row>
      <xdr:rowOff>219075</xdr:rowOff>
    </xdr:from>
    <xdr:to>
      <xdr:col>22</xdr:col>
      <xdr:colOff>921150</xdr:colOff>
      <xdr:row>21</xdr:row>
      <xdr:rowOff>20475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209CFFA4-A3F9-4B75-8E78-12C872B1A9B0}"/>
            </a:ext>
          </a:extLst>
        </xdr:cNvPr>
        <xdr:cNvSpPr/>
      </xdr:nvSpPr>
      <xdr:spPr bwMode="auto">
        <a:xfrm>
          <a:off x="15925800" y="4429125"/>
          <a:ext cx="864000" cy="792000"/>
        </a:xfrm>
        <a:prstGeom prst="ellipse">
          <a:avLst/>
        </a:prstGeom>
        <a:noFill/>
        <a:ln w="38100" cap="flat" cmpd="sng" algn="ctr">
          <a:solidFill>
            <a:srgbClr val="CC00CC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8</xdr:row>
      <xdr:rowOff>98196</xdr:rowOff>
    </xdr:from>
    <xdr:to>
      <xdr:col>11</xdr:col>
      <xdr:colOff>0</xdr:colOff>
      <xdr:row>9</xdr:row>
      <xdr:rowOff>117836</xdr:rowOff>
    </xdr:to>
    <xdr:sp macro="" textlink="">
      <xdr:nvSpPr>
        <xdr:cNvPr id="5" name="Flecha: hacia arriba 4">
          <a:extLst>
            <a:ext uri="{FF2B5EF4-FFF2-40B4-BE49-F238E27FC236}">
              <a16:creationId xmlns:a16="http://schemas.microsoft.com/office/drawing/2014/main" id="{5FBF60D1-5917-4C26-867A-C0855FA190C4}"/>
            </a:ext>
          </a:extLst>
        </xdr:cNvPr>
        <xdr:cNvSpPr/>
      </xdr:nvSpPr>
      <xdr:spPr bwMode="auto">
        <a:xfrm>
          <a:off x="8965285" y="1698789"/>
          <a:ext cx="726648" cy="176753"/>
        </a:xfrm>
        <a:prstGeom prst="upArrow">
          <a:avLst/>
        </a:prstGeom>
        <a:solidFill>
          <a:srgbClr val="BC55A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CR" sz="1100"/>
        </a:p>
      </xdr:txBody>
    </xdr:sp>
    <xdr:clientData/>
  </xdr:twoCellAnchor>
  <xdr:twoCellAnchor>
    <xdr:from>
      <xdr:col>15</xdr:col>
      <xdr:colOff>341656</xdr:colOff>
      <xdr:row>1</xdr:row>
      <xdr:rowOff>32340</xdr:rowOff>
    </xdr:from>
    <xdr:to>
      <xdr:col>15</xdr:col>
      <xdr:colOff>550457</xdr:colOff>
      <xdr:row>1</xdr:row>
      <xdr:rowOff>240334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A26BEB0E-8016-4206-B8AE-84BD0654B4AA}"/>
            </a:ext>
          </a:extLst>
        </xdr:cNvPr>
        <xdr:cNvSpPr/>
      </xdr:nvSpPr>
      <xdr:spPr>
        <a:xfrm>
          <a:off x="11889491" y="277830"/>
          <a:ext cx="208801" cy="207994"/>
        </a:xfrm>
        <a:prstGeom prst="ellipse">
          <a:avLst/>
        </a:prstGeom>
        <a:solidFill>
          <a:srgbClr val="34507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15</xdr:col>
      <xdr:colOff>644754</xdr:colOff>
      <xdr:row>1</xdr:row>
      <xdr:rowOff>19640</xdr:rowOff>
    </xdr:from>
    <xdr:to>
      <xdr:col>16</xdr:col>
      <xdr:colOff>166184</xdr:colOff>
      <xdr:row>1</xdr:row>
      <xdr:rowOff>227634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EFC17DFD-7A58-45FF-BDA9-968B509C7C62}"/>
            </a:ext>
          </a:extLst>
        </xdr:cNvPr>
        <xdr:cNvSpPr/>
      </xdr:nvSpPr>
      <xdr:spPr>
        <a:xfrm>
          <a:off x="12192589" y="265130"/>
          <a:ext cx="208801" cy="207994"/>
        </a:xfrm>
        <a:prstGeom prst="ellipse">
          <a:avLst/>
        </a:prstGeom>
        <a:solidFill>
          <a:srgbClr val="57A35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13</xdr:col>
      <xdr:colOff>136492</xdr:colOff>
      <xdr:row>1</xdr:row>
      <xdr:rowOff>22815</xdr:rowOff>
    </xdr:from>
    <xdr:to>
      <xdr:col>13</xdr:col>
      <xdr:colOff>297176</xdr:colOff>
      <xdr:row>1</xdr:row>
      <xdr:rowOff>230809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D42814BA-C275-4D91-843A-8BE8EEB5729F}"/>
            </a:ext>
          </a:extLst>
        </xdr:cNvPr>
        <xdr:cNvSpPr/>
      </xdr:nvSpPr>
      <xdr:spPr>
        <a:xfrm>
          <a:off x="10496157" y="268305"/>
          <a:ext cx="160684" cy="207994"/>
        </a:xfrm>
        <a:prstGeom prst="ellipse">
          <a:avLst/>
        </a:prstGeom>
        <a:solidFill>
          <a:srgbClr val="8293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13</xdr:col>
      <xdr:colOff>440801</xdr:colOff>
      <xdr:row>1</xdr:row>
      <xdr:rowOff>22815</xdr:rowOff>
    </xdr:from>
    <xdr:to>
      <xdr:col>14</xdr:col>
      <xdr:colOff>148802</xdr:colOff>
      <xdr:row>1</xdr:row>
      <xdr:rowOff>230809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64101D68-D519-46E8-A5BB-AFD1FB13EE94}"/>
            </a:ext>
          </a:extLst>
        </xdr:cNvPr>
        <xdr:cNvSpPr/>
      </xdr:nvSpPr>
      <xdr:spPr>
        <a:xfrm>
          <a:off x="10800466" y="268305"/>
          <a:ext cx="208800" cy="207994"/>
        </a:xfrm>
        <a:prstGeom prst="ellipse">
          <a:avLst/>
        </a:prstGeom>
        <a:solidFill>
          <a:srgbClr val="A9A38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14</xdr:col>
      <xdr:colOff>282902</xdr:colOff>
      <xdr:row>1</xdr:row>
      <xdr:rowOff>22815</xdr:rowOff>
    </xdr:from>
    <xdr:to>
      <xdr:col>14</xdr:col>
      <xdr:colOff>491702</xdr:colOff>
      <xdr:row>1</xdr:row>
      <xdr:rowOff>230809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D0EF042F-4637-4C6D-AD44-84D6ED5D412A}"/>
            </a:ext>
          </a:extLst>
        </xdr:cNvPr>
        <xdr:cNvSpPr/>
      </xdr:nvSpPr>
      <xdr:spPr>
        <a:xfrm>
          <a:off x="11143366" y="268305"/>
          <a:ext cx="208800" cy="207994"/>
        </a:xfrm>
        <a:prstGeom prst="ellipse">
          <a:avLst/>
        </a:prstGeom>
        <a:solidFill>
          <a:srgbClr val="EBEC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15</xdr:col>
      <xdr:colOff>5106</xdr:colOff>
      <xdr:row>1</xdr:row>
      <xdr:rowOff>32340</xdr:rowOff>
    </xdr:from>
    <xdr:to>
      <xdr:col>15</xdr:col>
      <xdr:colOff>213906</xdr:colOff>
      <xdr:row>1</xdr:row>
      <xdr:rowOff>240334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D7FC93D1-FEAA-445B-A3D4-B5EE33A1D12E}"/>
            </a:ext>
          </a:extLst>
        </xdr:cNvPr>
        <xdr:cNvSpPr/>
      </xdr:nvSpPr>
      <xdr:spPr>
        <a:xfrm>
          <a:off x="11552941" y="277830"/>
          <a:ext cx="208800" cy="207994"/>
        </a:xfrm>
        <a:prstGeom prst="ellipse">
          <a:avLst/>
        </a:prstGeom>
        <a:solidFill>
          <a:srgbClr val="4D4B3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15</xdr:col>
      <xdr:colOff>108016</xdr:colOff>
      <xdr:row>17</xdr:row>
      <xdr:rowOff>29456</xdr:rowOff>
    </xdr:from>
    <xdr:to>
      <xdr:col>16</xdr:col>
      <xdr:colOff>579355</xdr:colOff>
      <xdr:row>18</xdr:row>
      <xdr:rowOff>137474</xdr:rowOff>
    </xdr:to>
    <xdr:sp macro="" textlink="">
      <xdr:nvSpPr>
        <xdr:cNvPr id="3" name="Flecha: hacia arriba 2">
          <a:extLst>
            <a:ext uri="{FF2B5EF4-FFF2-40B4-BE49-F238E27FC236}">
              <a16:creationId xmlns:a16="http://schemas.microsoft.com/office/drawing/2014/main" id="{3B324682-6094-4841-92C8-F855C5BBB4C3}"/>
            </a:ext>
          </a:extLst>
        </xdr:cNvPr>
        <xdr:cNvSpPr/>
      </xdr:nvSpPr>
      <xdr:spPr>
        <a:xfrm>
          <a:off x="11655851" y="3004791"/>
          <a:ext cx="1158710" cy="274951"/>
        </a:xfrm>
        <a:prstGeom prst="upArrow">
          <a:avLst/>
        </a:prstGeom>
        <a:solidFill>
          <a:srgbClr val="0000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css.sa.cr/calculadora" TargetMode="External"/><Relationship Id="rId1" Type="http://schemas.openxmlformats.org/officeDocument/2006/relationships/hyperlink" Target="https://www.mtss.go.cr/temas-laborales/salarios/lista-salarios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www.icafe.cr/wp-content/uploads/cicafe/documentos/GuiaBPAsICAFEbaja.pdf" TargetMode="External"/><Relationship Id="rId7" Type="http://schemas.openxmlformats.org/officeDocument/2006/relationships/hyperlink" Target="https://crcafe.icafe.go.cr/icafe/f?p=105:500" TargetMode="External"/><Relationship Id="rId2" Type="http://schemas.openxmlformats.org/officeDocument/2006/relationships/hyperlink" Target="http://www.icafe.cr/wp-content/uploads/cicafe/documentos/GUIA-TECNICA.pdf" TargetMode="External"/><Relationship Id="rId1" Type="http://schemas.openxmlformats.org/officeDocument/2006/relationships/hyperlink" Target="http://www.icafe.cr/wp-content/uploads/cicafe/documentos/GUIA-TECNICA.pdf" TargetMode="External"/><Relationship Id="rId6" Type="http://schemas.openxmlformats.org/officeDocument/2006/relationships/hyperlink" Target="https://crcafe.icafe.go.cr/icafe/f?p=105" TargetMode="External"/><Relationship Id="rId11" Type="http://schemas.openxmlformats.org/officeDocument/2006/relationships/comments" Target="../comments2.xml"/><Relationship Id="rId5" Type="http://schemas.openxmlformats.org/officeDocument/2006/relationships/hyperlink" Target="https://www.ccss.sa.cr/calculadora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s://www.mtss.go.cr/temas-laborales/salarios/lista-salarios.html" TargetMode="External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cafe.cr/wp-content/uploads/cicafe/documentos/GUIA-TECNICA.pdf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cafe.cr/wp-content/uploads/cicafe/documentos/GUIA-TECNICA.pdf" TargetMode="External"/><Relationship Id="rId3" Type="http://schemas.openxmlformats.org/officeDocument/2006/relationships/hyperlink" Target="http://www.icafe.cr/wp-content/uploads/cicafe/documentos/GUIA-TECNICA.pdf" TargetMode="External"/><Relationship Id="rId7" Type="http://schemas.openxmlformats.org/officeDocument/2006/relationships/hyperlink" Target="http://www.icafe.cr/wp-content/uploads/cicafe/documentos/GuiaBPAsICAFEbaja.pdf" TargetMode="External"/><Relationship Id="rId2" Type="http://schemas.openxmlformats.org/officeDocument/2006/relationships/hyperlink" Target="http://www.icafe.cr/wp-content/uploads/cicafe/documentos/GuiaBPAsICAFEbaja.pdf" TargetMode="External"/><Relationship Id="rId1" Type="http://schemas.openxmlformats.org/officeDocument/2006/relationships/hyperlink" Target="http://www.icafe.cr/wp-content/uploads/cicafe/documentos/GUIA-TECNICA.pdf" TargetMode="External"/><Relationship Id="rId6" Type="http://schemas.openxmlformats.org/officeDocument/2006/relationships/hyperlink" Target="http://www.icafe.cr/wp-content/uploads/cicafe/documentos/GuiaBPAsICAFEbaja.pdf" TargetMode="External"/><Relationship Id="rId11" Type="http://schemas.openxmlformats.org/officeDocument/2006/relationships/comments" Target="../comments4.xml"/><Relationship Id="rId5" Type="http://schemas.openxmlformats.org/officeDocument/2006/relationships/hyperlink" Target="http://www.icafe.cr/wp-content/uploads/cicafe/documentos/GUIA-TECNICA.pdf" TargetMode="External"/><Relationship Id="rId10" Type="http://schemas.openxmlformats.org/officeDocument/2006/relationships/vmlDrawing" Target="../drawings/vmlDrawing4.vml"/><Relationship Id="rId4" Type="http://schemas.openxmlformats.org/officeDocument/2006/relationships/hyperlink" Target="http://www.icafe.cr/wp-content/uploads/cicafe/documentos/GuiaBPAsICAFEbaja.pdf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6F27-3251-4D16-9006-C96C884FFD33}">
  <sheetPr>
    <tabColor theme="0"/>
  </sheetPr>
  <dimension ref="A1"/>
  <sheetViews>
    <sheetView showGridLines="0" tabSelected="1" workbookViewId="0"/>
  </sheetViews>
  <sheetFormatPr baseColWidth="10" defaultColWidth="11.42578125" defaultRowHeight="12.75"/>
  <cols>
    <col min="1" max="16384" width="11.42578125" style="428"/>
  </cols>
  <sheetData/>
  <sheetProtection algorithmName="SHA-512" hashValue="ctGfqZdqPRiH3DVN7C5goIYBkG5ykCJKUVa7AQgCyfEtrqMHrVrTnXXDhR3C/877p2u0RnI8LPF4GosM7ISB5A==" saltValue="JWCHLLq0AZkRdR/RK2G/7Q==" spinCount="100000" sheet="1" objects="1" scenarios="1"/>
  <printOptions horizontalCentered="1" vertic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BECC4"/>
  </sheetPr>
  <dimension ref="B1:W77"/>
  <sheetViews>
    <sheetView showGridLines="0" workbookViewId="0">
      <selection sqref="A1:I38"/>
    </sheetView>
  </sheetViews>
  <sheetFormatPr baseColWidth="10" defaultRowHeight="12.75"/>
  <cols>
    <col min="1" max="1" width="1" customWidth="1"/>
    <col min="2" max="2" width="21.7109375" customWidth="1"/>
    <col min="3" max="3" width="8.85546875" customWidth="1"/>
    <col min="4" max="5" width="12.28515625" customWidth="1"/>
    <col min="7" max="7" width="1.42578125" customWidth="1"/>
    <col min="8" max="8" width="11.7109375" bestFit="1" customWidth="1"/>
    <col min="9" max="9" width="1" customWidth="1"/>
    <col min="10" max="10" width="18.7109375" customWidth="1"/>
    <col min="11" max="11" width="8.42578125" bestFit="1" customWidth="1"/>
    <col min="12" max="12" width="11.5703125" bestFit="1" customWidth="1"/>
    <col min="13" max="13" width="11.7109375" bestFit="1" customWidth="1"/>
    <col min="14" max="14" width="11.5703125" bestFit="1" customWidth="1"/>
    <col min="15" max="15" width="1.42578125" customWidth="1"/>
    <col min="16" max="16" width="11.7109375" bestFit="1" customWidth="1"/>
    <col min="17" max="17" width="1.42578125" customWidth="1"/>
    <col min="18" max="18" width="26.5703125" customWidth="1"/>
    <col min="20" max="21" width="13.28515625" customWidth="1"/>
    <col min="22" max="22" width="1.5703125" customWidth="1"/>
    <col min="23" max="23" width="13.85546875" customWidth="1"/>
  </cols>
  <sheetData>
    <row r="1" spans="2:23" s="5" customFormat="1" ht="21">
      <c r="B1" s="156" t="str">
        <f>'R-1'!A1</f>
        <v>Estructura de Costos de Renovación de Café</v>
      </c>
      <c r="C1" s="155"/>
      <c r="D1" s="155"/>
      <c r="E1" s="155"/>
      <c r="F1" s="155"/>
      <c r="G1" s="155"/>
      <c r="H1" s="155"/>
      <c r="R1" s="156" t="str">
        <f>B1</f>
        <v>Estructura de Costos de Renovación de Café</v>
      </c>
      <c r="S1" s="155"/>
      <c r="T1" s="155"/>
      <c r="U1" s="155"/>
      <c r="V1" s="155"/>
      <c r="W1" s="155"/>
    </row>
    <row r="2" spans="2:23" s="5" customFormat="1" ht="21">
      <c r="B2" s="156" t="str">
        <f>'R-1'!A3</f>
        <v>Primer y Segundo Año Acumulados</v>
      </c>
      <c r="C2" s="155"/>
      <c r="D2" s="155"/>
      <c r="E2" s="155"/>
      <c r="F2" s="155"/>
      <c r="G2" s="155"/>
      <c r="H2" s="155"/>
      <c r="R2" s="156" t="str">
        <f t="shared" ref="R2:R3" si="0">B2</f>
        <v>Primer y Segundo Año Acumulados</v>
      </c>
      <c r="S2" s="155"/>
      <c r="T2" s="155"/>
      <c r="U2" s="155"/>
      <c r="V2" s="155"/>
      <c r="W2" s="155"/>
    </row>
    <row r="3" spans="2:23" s="5" customFormat="1" ht="21">
      <c r="B3" s="156" t="str">
        <f>'R-1'!A4</f>
        <v>Cosecha 2025-2026 (Abr-Mar)</v>
      </c>
      <c r="C3" s="155"/>
      <c r="D3" s="155"/>
      <c r="E3" s="155"/>
      <c r="F3" s="155"/>
      <c r="G3" s="155"/>
      <c r="H3" s="155"/>
      <c r="R3" s="156" t="str">
        <f t="shared" si="0"/>
        <v>Cosecha 2025-2026 (Abr-Mar)</v>
      </c>
      <c r="S3" s="155"/>
      <c r="T3" s="155"/>
      <c r="U3" s="155"/>
      <c r="V3" s="155"/>
      <c r="W3" s="155"/>
    </row>
    <row r="4" spans="2:23" s="5" customFormat="1"/>
    <row r="5" spans="2:23" s="5" customFormat="1" ht="3" customHeight="1" thickBot="1"/>
    <row r="6" spans="2:23" s="5" customFormat="1" ht="15" customHeight="1" thickBot="1">
      <c r="D6" s="477" t="s">
        <v>85</v>
      </c>
      <c r="E6" s="618"/>
      <c r="F6" s="159" t="s">
        <v>86</v>
      </c>
      <c r="H6" s="503" t="s">
        <v>2</v>
      </c>
      <c r="T6" s="477" t="s">
        <v>251</v>
      </c>
      <c r="U6" s="478"/>
      <c r="W6" s="503" t="s">
        <v>2</v>
      </c>
    </row>
    <row r="7" spans="2:23" s="5" customFormat="1" ht="15" customHeight="1" thickBot="1">
      <c r="B7" s="161" t="s">
        <v>73</v>
      </c>
      <c r="C7" s="161"/>
      <c r="D7" s="143" t="s">
        <v>83</v>
      </c>
      <c r="E7" s="162" t="s">
        <v>84</v>
      </c>
      <c r="F7" s="143" t="s">
        <v>87</v>
      </c>
      <c r="H7" s="504" t="s">
        <v>23</v>
      </c>
      <c r="R7" s="150" t="s">
        <v>100</v>
      </c>
      <c r="S7" s="161"/>
      <c r="T7" s="143" t="s">
        <v>21</v>
      </c>
      <c r="U7" s="162" t="s">
        <v>22</v>
      </c>
      <c r="W7" s="504" t="s">
        <v>23</v>
      </c>
    </row>
    <row r="8" spans="2:23">
      <c r="B8" s="41" t="s">
        <v>79</v>
      </c>
      <c r="C8" s="35"/>
      <c r="D8" s="9">
        <f>SUM(FICHA!B7:C8)*FICHA!F7</f>
        <v>578310.43400000001</v>
      </c>
      <c r="E8" s="44" t="str">
        <f t="shared" ref="E8:F11" si="1">E46</f>
        <v>-</v>
      </c>
      <c r="F8" s="45" t="str">
        <f t="shared" si="1"/>
        <v>-</v>
      </c>
      <c r="G8" s="6"/>
      <c r="H8" s="137">
        <f>SUM(D8:F8)</f>
        <v>578310.43400000001</v>
      </c>
      <c r="N8" s="5"/>
      <c r="R8" s="41" t="s">
        <v>79</v>
      </c>
      <c r="S8" s="35"/>
      <c r="T8" s="59">
        <f>H46</f>
        <v>578310.43400000001</v>
      </c>
      <c r="U8" s="262" t="s">
        <v>49</v>
      </c>
      <c r="V8" s="6"/>
      <c r="W8" s="263">
        <f>SUM(T8:U8)</f>
        <v>578310.43400000001</v>
      </c>
    </row>
    <row r="9" spans="2:23">
      <c r="B9" s="41" t="s">
        <v>74</v>
      </c>
      <c r="C9" s="35"/>
      <c r="D9" s="9">
        <f>SUM(FICHA!B9:C9)*FICHA!$F$7</f>
        <v>562038.33400000003</v>
      </c>
      <c r="E9" s="44">
        <f t="shared" si="1"/>
        <v>1575792.7390000001</v>
      </c>
      <c r="F9" s="43" t="str">
        <f t="shared" si="1"/>
        <v>-</v>
      </c>
      <c r="G9" s="6"/>
      <c r="H9" s="138">
        <f t="shared" ref="H9:H21" si="2">SUM(D9:F9)</f>
        <v>2137831.0729999999</v>
      </c>
      <c r="N9" s="5"/>
      <c r="R9" s="41" t="s">
        <v>74</v>
      </c>
      <c r="S9" s="35"/>
      <c r="T9" s="59">
        <f t="shared" ref="T9:T14" si="3">H47</f>
        <v>2137831.0729999999</v>
      </c>
      <c r="U9" s="262" t="s">
        <v>49</v>
      </c>
      <c r="V9" s="6"/>
      <c r="W9" s="264">
        <f t="shared" ref="W9:W21" si="4">SUM(T9:U9)</f>
        <v>2137831.0729999999</v>
      </c>
    </row>
    <row r="10" spans="2:23">
      <c r="B10" t="s">
        <v>75</v>
      </c>
      <c r="C10" s="3"/>
      <c r="D10" s="9">
        <f>SUM(FICHA!B10:C10)*FICHA!$F$7</f>
        <v>71597.240000000005</v>
      </c>
      <c r="E10" s="44">
        <f t="shared" si="1"/>
        <v>66391.113599999997</v>
      </c>
      <c r="F10" s="43" t="str">
        <f t="shared" si="1"/>
        <v>-</v>
      </c>
      <c r="G10" s="6"/>
      <c r="H10" s="138">
        <f t="shared" si="2"/>
        <v>137988.3536</v>
      </c>
      <c r="N10" s="5"/>
      <c r="R10" t="s">
        <v>75</v>
      </c>
      <c r="S10" s="3"/>
      <c r="T10" s="59">
        <f t="shared" si="3"/>
        <v>137988.3536</v>
      </c>
      <c r="U10" s="262" t="s">
        <v>49</v>
      </c>
      <c r="V10" s="6"/>
      <c r="W10" s="264">
        <f t="shared" si="4"/>
        <v>137988.3536</v>
      </c>
    </row>
    <row r="11" spans="2:23">
      <c r="B11" t="s">
        <v>76</v>
      </c>
      <c r="C11" s="3"/>
      <c r="D11" s="9">
        <f>SUM(FICHA!B11:C11)*FICHA!$F$7</f>
        <v>15295.774000000001</v>
      </c>
      <c r="E11" s="44" t="str">
        <f t="shared" si="1"/>
        <v>-</v>
      </c>
      <c r="F11" s="43" t="str">
        <f t="shared" si="1"/>
        <v>-</v>
      </c>
      <c r="G11" s="6"/>
      <c r="H11" s="138">
        <f t="shared" si="2"/>
        <v>15295.774000000001</v>
      </c>
      <c r="N11" s="5"/>
      <c r="R11" t="s">
        <v>76</v>
      </c>
      <c r="S11" s="3"/>
      <c r="T11" s="59">
        <f t="shared" si="3"/>
        <v>15295.774000000001</v>
      </c>
      <c r="U11" s="262" t="s">
        <v>49</v>
      </c>
      <c r="V11" s="6"/>
      <c r="W11" s="264">
        <f t="shared" si="4"/>
        <v>15295.774000000001</v>
      </c>
    </row>
    <row r="12" spans="2:23">
      <c r="B12" t="s">
        <v>95</v>
      </c>
      <c r="C12" s="3"/>
      <c r="D12" s="9">
        <f>SUM(FICHA!B12:C12)*FICHA!$F$7</f>
        <v>74526.217999999993</v>
      </c>
      <c r="E12" s="44">
        <f>SUM(E50,M46)</f>
        <v>737521.9222222222</v>
      </c>
      <c r="F12" s="43" t="str">
        <f>F50</f>
        <v>-</v>
      </c>
      <c r="G12" s="6"/>
      <c r="H12" s="138">
        <f t="shared" si="2"/>
        <v>812048.1402222222</v>
      </c>
      <c r="N12" s="5"/>
      <c r="R12" t="s">
        <v>95</v>
      </c>
      <c r="S12" s="3"/>
      <c r="T12" s="59">
        <f t="shared" si="3"/>
        <v>386421.88455555559</v>
      </c>
      <c r="U12" s="262">
        <f>P46</f>
        <v>425626.25566666666</v>
      </c>
      <c r="V12" s="6"/>
      <c r="W12" s="264">
        <f t="shared" si="4"/>
        <v>812048.14022222231</v>
      </c>
    </row>
    <row r="13" spans="2:23">
      <c r="B13" t="s">
        <v>229</v>
      </c>
      <c r="C13" s="3"/>
      <c r="D13" s="9">
        <f>SUM(D51,L51)</f>
        <v>13668.564</v>
      </c>
      <c r="E13" s="44">
        <f t="shared" ref="E13" si="5">SUM(E51,M51)</f>
        <v>42068.333333333336</v>
      </c>
      <c r="F13" s="259" t="s">
        <v>49</v>
      </c>
      <c r="G13" s="6"/>
      <c r="H13" s="138">
        <f>SUM(H51,P51)</f>
        <v>55736.897333333334</v>
      </c>
      <c r="N13" s="5"/>
      <c r="R13" t="s">
        <v>229</v>
      </c>
      <c r="S13" s="3"/>
      <c r="T13" s="59">
        <f t="shared" si="3"/>
        <v>55736.897333333334</v>
      </c>
      <c r="U13" s="262" t="s">
        <v>49</v>
      </c>
      <c r="V13" s="6"/>
      <c r="W13" s="264">
        <f t="shared" si="4"/>
        <v>55736.897333333334</v>
      </c>
    </row>
    <row r="14" spans="2:23">
      <c r="B14" t="s">
        <v>30</v>
      </c>
      <c r="C14" s="3"/>
      <c r="D14" s="9">
        <f>SUM(FICHA!B14:C14)*FICHA!$F$7</f>
        <v>111789.327</v>
      </c>
      <c r="E14" s="44">
        <f ca="1">SUM(E52,M47)</f>
        <v>312282.74128000002</v>
      </c>
      <c r="F14" s="43" t="str">
        <f>F52</f>
        <v>-</v>
      </c>
      <c r="G14" s="6"/>
      <c r="H14" s="138">
        <f t="shared" ca="1" si="2"/>
        <v>424072.06828000001</v>
      </c>
      <c r="N14" s="5"/>
      <c r="R14" t="s">
        <v>30</v>
      </c>
      <c r="S14" s="3"/>
      <c r="T14" s="59">
        <f t="shared" ca="1" si="3"/>
        <v>149447.88589999999</v>
      </c>
      <c r="U14" s="262">
        <f ca="1">P47</f>
        <v>274624.18238000001</v>
      </c>
      <c r="V14" s="6"/>
      <c r="W14" s="264">
        <f t="shared" ca="1" si="4"/>
        <v>424072.06828000001</v>
      </c>
    </row>
    <row r="15" spans="2:23">
      <c r="B15" t="s">
        <v>80</v>
      </c>
      <c r="C15" s="3"/>
      <c r="D15" s="9">
        <f>SUM(FICHA!B15:C15)*FICHA!$F$7</f>
        <v>37588.551000000007</v>
      </c>
      <c r="E15" s="44">
        <f>SUM(E53,M49)</f>
        <v>0</v>
      </c>
      <c r="F15" s="43" t="str">
        <f>F53</f>
        <v>-</v>
      </c>
      <c r="G15" s="6"/>
      <c r="H15" s="138">
        <f t="shared" si="2"/>
        <v>37588.551000000007</v>
      </c>
      <c r="N15" s="5"/>
      <c r="R15" t="s">
        <v>80</v>
      </c>
      <c r="S15" s="3"/>
      <c r="T15" s="59" t="s">
        <v>49</v>
      </c>
      <c r="U15" s="262">
        <f t="shared" ref="U15:U17" si="6">P48</f>
        <v>37588.551000000007</v>
      </c>
      <c r="V15" s="6"/>
      <c r="W15" s="264">
        <f t="shared" si="4"/>
        <v>37588.551000000007</v>
      </c>
    </row>
    <row r="16" spans="2:23">
      <c r="B16" t="s">
        <v>394</v>
      </c>
      <c r="C16" s="3"/>
      <c r="D16" s="9">
        <f>SUM(FICHA!B16:C16)*FICHA!$F$7</f>
        <v>199333.22500000001</v>
      </c>
      <c r="E16" s="44">
        <f>SUM(E54,M50)</f>
        <v>23037.746879999999</v>
      </c>
      <c r="F16" s="43" t="str">
        <f>F54</f>
        <v>-</v>
      </c>
      <c r="G16" s="6"/>
      <c r="H16" s="138">
        <f t="shared" si="2"/>
        <v>222370.97188</v>
      </c>
      <c r="N16" s="5"/>
      <c r="R16" t="s">
        <v>394</v>
      </c>
      <c r="S16" s="3"/>
      <c r="T16" s="59">
        <f>H53</f>
        <v>122366.19200000001</v>
      </c>
      <c r="U16" s="262">
        <f t="shared" si="6"/>
        <v>76967.032999999996</v>
      </c>
      <c r="V16" s="6"/>
      <c r="W16" s="264">
        <f t="shared" si="4"/>
        <v>199333.22500000001</v>
      </c>
    </row>
    <row r="17" spans="2:23">
      <c r="B17" t="s">
        <v>395</v>
      </c>
      <c r="C17" s="3"/>
      <c r="D17" s="9">
        <f>SUM(FICHA!B17:C17)*FICHA!$F$7</f>
        <v>70620.914000000004</v>
      </c>
      <c r="E17" s="44" t="str">
        <f>M48</f>
        <v>-</v>
      </c>
      <c r="F17" s="43" t="str">
        <f>F55</f>
        <v>-</v>
      </c>
      <c r="G17" s="6"/>
      <c r="H17" s="138">
        <f t="shared" si="2"/>
        <v>70620.914000000004</v>
      </c>
      <c r="N17" s="5"/>
      <c r="R17" t="s">
        <v>395</v>
      </c>
      <c r="S17" s="3"/>
      <c r="T17" s="59">
        <f>H54</f>
        <v>30297.467960000002</v>
      </c>
      <c r="U17" s="262">
        <f t="shared" si="6"/>
        <v>63361.192920000001</v>
      </c>
      <c r="V17" s="6"/>
      <c r="W17" s="264">
        <f t="shared" si="4"/>
        <v>93658.66088000001</v>
      </c>
    </row>
    <row r="18" spans="2:23">
      <c r="B18" t="s">
        <v>81</v>
      </c>
      <c r="C18" s="3"/>
      <c r="D18" s="9">
        <f>SUM(FICHA!B18:C18)*FICHA!$F$7</f>
        <v>51094.394</v>
      </c>
      <c r="E18" s="44" t="s">
        <v>49</v>
      </c>
      <c r="F18" s="43" t="s">
        <v>49</v>
      </c>
      <c r="G18" s="6"/>
      <c r="H18" s="138">
        <f t="shared" si="2"/>
        <v>51094.394</v>
      </c>
      <c r="N18" s="5"/>
      <c r="R18" t="s">
        <v>81</v>
      </c>
      <c r="S18" s="3"/>
      <c r="T18" s="59" t="s">
        <v>49</v>
      </c>
      <c r="U18" s="262">
        <f>P52</f>
        <v>51094.394</v>
      </c>
      <c r="V18" s="6"/>
      <c r="W18" s="264">
        <f t="shared" si="4"/>
        <v>51094.394</v>
      </c>
    </row>
    <row r="19" spans="2:23">
      <c r="B19" t="s">
        <v>82</v>
      </c>
      <c r="C19" s="3"/>
      <c r="D19" s="9">
        <f>SUM(FICHA!B19:C19)*FICHA!$F$7</f>
        <v>34334.131000000001</v>
      </c>
      <c r="E19" s="44">
        <f>M53</f>
        <v>73744.625</v>
      </c>
      <c r="F19" s="43" t="s">
        <v>49</v>
      </c>
      <c r="G19" s="6"/>
      <c r="H19" s="138">
        <f t="shared" si="2"/>
        <v>108078.75599999999</v>
      </c>
      <c r="N19" s="5"/>
      <c r="R19" t="s">
        <v>82</v>
      </c>
      <c r="S19" s="3"/>
      <c r="T19" s="59" t="s">
        <v>49</v>
      </c>
      <c r="U19" s="262">
        <f t="shared" ref="U19:U21" si="7">P53</f>
        <v>108078.75599999999</v>
      </c>
      <c r="V19" s="6"/>
      <c r="W19" s="264">
        <f t="shared" si="4"/>
        <v>108078.75599999999</v>
      </c>
    </row>
    <row r="20" spans="2:23">
      <c r="B20" t="s">
        <v>88</v>
      </c>
      <c r="C20" s="3"/>
      <c r="D20" s="9">
        <f>SUM(D8:D19)*FICHA!F8</f>
        <v>820180.81596360018</v>
      </c>
      <c r="E20" s="44" t="s">
        <v>49</v>
      </c>
      <c r="F20" s="40"/>
      <c r="G20" s="6"/>
      <c r="H20" s="138">
        <f t="shared" si="2"/>
        <v>820180.81596360018</v>
      </c>
      <c r="N20" s="5"/>
      <c r="R20" t="s">
        <v>88</v>
      </c>
      <c r="S20" s="3"/>
      <c r="T20" s="59">
        <f>H55</f>
        <v>655939.35093960015</v>
      </c>
      <c r="U20" s="262">
        <f t="shared" si="7"/>
        <v>164241.465024</v>
      </c>
      <c r="V20" s="6"/>
      <c r="W20" s="264">
        <f t="shared" si="4"/>
        <v>820180.81596360018</v>
      </c>
    </row>
    <row r="21" spans="2:23">
      <c r="B21" t="s">
        <v>91</v>
      </c>
      <c r="C21" s="3"/>
      <c r="D21" s="9" t="s">
        <v>49</v>
      </c>
      <c r="E21" s="44" t="s">
        <v>49</v>
      </c>
      <c r="F21" s="43">
        <f>SUM(F56,N55)</f>
        <v>170257.85749999998</v>
      </c>
      <c r="G21" s="6"/>
      <c r="H21" s="138">
        <f t="shared" si="2"/>
        <v>170257.85749999998</v>
      </c>
      <c r="N21" s="5"/>
      <c r="R21" t="s">
        <v>91</v>
      </c>
      <c r="S21" s="3"/>
      <c r="T21" s="59">
        <f t="shared" ref="T21" si="8">H56</f>
        <v>148768.98749999999</v>
      </c>
      <c r="U21" s="262">
        <f t="shared" si="7"/>
        <v>21488.87</v>
      </c>
      <c r="V21" s="6"/>
      <c r="W21" s="264">
        <f t="shared" si="4"/>
        <v>170257.85749999998</v>
      </c>
    </row>
    <row r="22" spans="2:23" ht="4.5" customHeight="1" thickBot="1">
      <c r="D22" s="6"/>
      <c r="E22" s="136"/>
      <c r="F22" s="40"/>
      <c r="G22" s="6"/>
      <c r="H22" s="37"/>
      <c r="N22" s="5"/>
      <c r="T22" s="59"/>
      <c r="U22" s="136"/>
      <c r="V22" s="6"/>
      <c r="W22" s="265"/>
    </row>
    <row r="23" spans="2:23" s="5" customFormat="1">
      <c r="B23" s="760" t="s">
        <v>89</v>
      </c>
      <c r="C23" s="645" t="s">
        <v>145</v>
      </c>
      <c r="D23" s="646">
        <f>SUM(D8:D21)</f>
        <v>2640377.9219636004</v>
      </c>
      <c r="E23" s="647">
        <f ca="1">SUM(E8:E21)</f>
        <v>2830839.2213155557</v>
      </c>
      <c r="F23" s="648">
        <f>SUM(F8:F21)</f>
        <v>170257.85749999998</v>
      </c>
      <c r="G23" s="164"/>
      <c r="H23" s="653">
        <f ca="1">SUM(H8:H21)</f>
        <v>5641475.0007791556</v>
      </c>
      <c r="J23" s="165"/>
      <c r="K23" s="165"/>
      <c r="L23" s="166"/>
      <c r="M23"/>
      <c r="O23" s="166"/>
      <c r="P23" s="166"/>
      <c r="R23" s="760" t="s">
        <v>253</v>
      </c>
      <c r="S23" s="645" t="s">
        <v>145</v>
      </c>
      <c r="T23" s="665">
        <f ca="1">SUM(T8:T21)</f>
        <v>4418404.3007884882</v>
      </c>
      <c r="U23" s="666">
        <f ca="1">SUM(U8:U21)</f>
        <v>1223070.6999906667</v>
      </c>
      <c r="V23" s="164"/>
      <c r="W23" s="669">
        <f ca="1">SUM(T23:U23)</f>
        <v>5641475.0007791547</v>
      </c>
    </row>
    <row r="24" spans="2:23" s="5" customFormat="1" ht="13.5" thickBot="1">
      <c r="B24" s="761"/>
      <c r="C24" s="649" t="s">
        <v>192</v>
      </c>
      <c r="D24" s="650">
        <f ca="1">D23/$E$37</f>
        <v>5234.0088008437733</v>
      </c>
      <c r="E24" s="651">
        <f ca="1">E23/$E$37</f>
        <v>5611.5593434141774</v>
      </c>
      <c r="F24" s="652">
        <f ca="1">F23/$E$37</f>
        <v>337.50135431563035</v>
      </c>
      <c r="G24" s="164"/>
      <c r="H24" s="654">
        <f ca="1">H23/$E$37</f>
        <v>11183.069498573581</v>
      </c>
      <c r="J24" s="165"/>
      <c r="K24" s="165"/>
      <c r="L24" s="166"/>
      <c r="M24"/>
      <c r="O24" s="166"/>
      <c r="P24" s="166"/>
      <c r="R24" s="761"/>
      <c r="S24" s="649" t="s">
        <v>192</v>
      </c>
      <c r="T24" s="667">
        <f ca="1">T23/$E$37</f>
        <v>8758.5821725151254</v>
      </c>
      <c r="U24" s="668">
        <f ca="1">U23/$E$37</f>
        <v>2424.4873260584527</v>
      </c>
      <c r="V24" s="164"/>
      <c r="W24" s="654">
        <f ca="1">W23/$E$37</f>
        <v>11183.069498573579</v>
      </c>
    </row>
    <row r="25" spans="2:23" ht="6.75" customHeight="1">
      <c r="D25" s="6"/>
      <c r="E25" s="42"/>
      <c r="F25" s="40"/>
      <c r="G25" s="6"/>
      <c r="H25" s="36"/>
      <c r="T25" s="6"/>
      <c r="U25" s="267"/>
      <c r="V25" s="6"/>
      <c r="W25" s="36"/>
    </row>
    <row r="26" spans="2:23">
      <c r="B26" s="41" t="s">
        <v>249</v>
      </c>
      <c r="D26" s="9">
        <f>SUM(D61,L61)</f>
        <v>273842.44200000004</v>
      </c>
      <c r="E26" s="258" t="s">
        <v>49</v>
      </c>
      <c r="F26" s="259" t="s">
        <v>49</v>
      </c>
      <c r="G26" s="6"/>
      <c r="H26" s="138">
        <f>SUM(D26:F26)</f>
        <v>273842.44200000004</v>
      </c>
      <c r="N26" s="11"/>
      <c r="P26" s="11"/>
      <c r="R26" s="41" t="s">
        <v>249</v>
      </c>
      <c r="T26" s="59" t="s">
        <v>49</v>
      </c>
      <c r="U26" s="268">
        <f>P61</f>
        <v>273842.44200000004</v>
      </c>
      <c r="V26" s="6"/>
      <c r="W26" s="264">
        <f t="shared" ref="W26:W30" si="9">SUM(T26:U26)</f>
        <v>273842.44200000004</v>
      </c>
    </row>
    <row r="27" spans="2:23">
      <c r="B27" t="s">
        <v>250</v>
      </c>
      <c r="D27" s="53" t="s">
        <v>49</v>
      </c>
      <c r="E27" s="258" t="s">
        <v>49</v>
      </c>
      <c r="F27" s="43">
        <f>SUM(F62,N62)</f>
        <v>15298.354799999999</v>
      </c>
      <c r="G27" s="6"/>
      <c r="H27" s="138">
        <f t="shared" ref="H27:H29" si="10">SUM(D27:F27)</f>
        <v>15298.354799999999</v>
      </c>
      <c r="N27" s="11"/>
      <c r="P27" s="11"/>
      <c r="R27" t="s">
        <v>250</v>
      </c>
      <c r="T27" s="56" t="s">
        <v>49</v>
      </c>
      <c r="U27" s="268">
        <f>P62</f>
        <v>15298.354799999999</v>
      </c>
      <c r="V27" s="6"/>
      <c r="W27" s="264">
        <f t="shared" si="9"/>
        <v>15298.354799999999</v>
      </c>
    </row>
    <row r="28" spans="2:23">
      <c r="B28" t="s">
        <v>113</v>
      </c>
      <c r="D28" s="9" t="s">
        <v>49</v>
      </c>
      <c r="E28" s="260" t="s">
        <v>49</v>
      </c>
      <c r="F28" s="43">
        <f>SUM(H63,N63)</f>
        <v>52042.990068549989</v>
      </c>
      <c r="G28" s="6"/>
      <c r="H28" s="138">
        <f t="shared" si="10"/>
        <v>52042.990068549989</v>
      </c>
      <c r="N28" s="11"/>
      <c r="P28" s="11"/>
      <c r="R28" t="s">
        <v>113</v>
      </c>
      <c r="T28" s="59">
        <f>H63</f>
        <v>26021.495034274994</v>
      </c>
      <c r="U28" s="262">
        <f>P63</f>
        <v>26021.495034274994</v>
      </c>
      <c r="V28" s="6"/>
      <c r="W28" s="264">
        <f t="shared" si="9"/>
        <v>52042.990068549989</v>
      </c>
    </row>
    <row r="29" spans="2:23">
      <c r="B29" t="s">
        <v>114</v>
      </c>
      <c r="D29" s="9" t="s">
        <v>49</v>
      </c>
      <c r="E29" s="260" t="s">
        <v>49</v>
      </c>
      <c r="F29" s="43">
        <f>SUM(H64,N64)</f>
        <v>233182.22022867997</v>
      </c>
      <c r="G29" s="6"/>
      <c r="H29" s="138">
        <f t="shared" si="10"/>
        <v>233182.22022867997</v>
      </c>
      <c r="N29" s="11"/>
      <c r="P29" s="11"/>
      <c r="R29" t="s">
        <v>114</v>
      </c>
      <c r="T29" s="59">
        <f t="shared" ref="T29:T30" si="11">H64</f>
        <v>116591.11011433999</v>
      </c>
      <c r="U29" s="262">
        <f>P64</f>
        <v>116591.11011433999</v>
      </c>
      <c r="V29" s="6"/>
      <c r="W29" s="264">
        <f t="shared" si="9"/>
        <v>233182.22022867997</v>
      </c>
    </row>
    <row r="30" spans="2:23">
      <c r="B30" t="s">
        <v>150</v>
      </c>
      <c r="D30" s="9" t="s">
        <v>49</v>
      </c>
      <c r="E30" s="260" t="s">
        <v>49</v>
      </c>
      <c r="F30" s="43">
        <f>SUM(H65,N65)</f>
        <v>101057.22</v>
      </c>
      <c r="G30" s="6"/>
      <c r="H30" s="138">
        <f>SUM(D30:F30)</f>
        <v>101057.22</v>
      </c>
      <c r="N30" s="11"/>
      <c r="P30" s="11"/>
      <c r="R30" t="s">
        <v>150</v>
      </c>
      <c r="T30" s="59">
        <f t="shared" si="11"/>
        <v>50528.61</v>
      </c>
      <c r="U30" s="262">
        <f>P65</f>
        <v>50528.61</v>
      </c>
      <c r="V30" s="6"/>
      <c r="W30" s="264">
        <f t="shared" si="9"/>
        <v>101057.22</v>
      </c>
    </row>
    <row r="31" spans="2:23" ht="4.5" customHeight="1" thickBot="1">
      <c r="D31" s="6"/>
      <c r="E31" s="136"/>
      <c r="F31" s="40"/>
      <c r="G31" s="6"/>
      <c r="H31" s="37"/>
      <c r="T31" s="59"/>
      <c r="U31" s="266"/>
      <c r="V31" s="6"/>
      <c r="W31" s="265"/>
    </row>
    <row r="32" spans="2:23" s="5" customFormat="1">
      <c r="B32" s="762" t="s">
        <v>32</v>
      </c>
      <c r="C32" s="655" t="s">
        <v>145</v>
      </c>
      <c r="D32" s="656">
        <f>SUM(D25:D30)</f>
        <v>273842.44200000004</v>
      </c>
      <c r="E32" s="657">
        <f>SUM(E25:E30)</f>
        <v>0</v>
      </c>
      <c r="F32" s="658">
        <f>SUM(F25:F30)</f>
        <v>401580.78509722999</v>
      </c>
      <c r="G32" s="167"/>
      <c r="H32" s="663">
        <f>SUM(H25:H30)</f>
        <v>675423.22709722992</v>
      </c>
      <c r="J32" s="165"/>
      <c r="K32" s="165"/>
      <c r="L32" s="166"/>
      <c r="M32" s="166"/>
      <c r="N32" s="166"/>
      <c r="O32" s="168"/>
      <c r="P32" s="166"/>
      <c r="R32" s="762" t="s">
        <v>32</v>
      </c>
      <c r="S32" s="655" t="s">
        <v>145</v>
      </c>
      <c r="T32" s="670">
        <f>SUM(T25:T30)</f>
        <v>193141.21514861495</v>
      </c>
      <c r="U32" s="671">
        <f>SUM(U25:U30)</f>
        <v>482282.01194861496</v>
      </c>
      <c r="V32" s="167"/>
      <c r="W32" s="674">
        <f>SUM(T32:U32)</f>
        <v>675423.22709722992</v>
      </c>
    </row>
    <row r="33" spans="2:23" s="5" customFormat="1" ht="13.5" thickBot="1">
      <c r="B33" s="763"/>
      <c r="C33" s="659" t="s">
        <v>192</v>
      </c>
      <c r="D33" s="660">
        <f ca="1">D32/$E$37</f>
        <v>542.83659151589802</v>
      </c>
      <c r="E33" s="661">
        <f ca="1">E32/$E$37</f>
        <v>0</v>
      </c>
      <c r="F33" s="662">
        <f ca="1">F32/$E$37</f>
        <v>796.05171137225932</v>
      </c>
      <c r="G33" s="167"/>
      <c r="H33" s="664">
        <f ca="1">H32/$E$37</f>
        <v>1338.8883028881571</v>
      </c>
      <c r="J33" s="165"/>
      <c r="K33" s="165"/>
      <c r="L33" s="166"/>
      <c r="M33" s="166"/>
      <c r="N33" s="166"/>
      <c r="O33" s="168"/>
      <c r="P33" s="166"/>
      <c r="R33" s="763"/>
      <c r="S33" s="659" t="s">
        <v>192</v>
      </c>
      <c r="T33" s="672">
        <f ca="1">T32/$E$37</f>
        <v>382.8629271152675</v>
      </c>
      <c r="U33" s="673">
        <f ca="1">U32/$E$37</f>
        <v>956.02537577288956</v>
      </c>
      <c r="V33" s="167"/>
      <c r="W33" s="675">
        <f ca="1">W32/$E$37</f>
        <v>1338.8883028881571</v>
      </c>
    </row>
    <row r="34" spans="2:23" ht="8.25" customHeight="1" thickBot="1">
      <c r="B34" s="3"/>
      <c r="D34" s="6"/>
      <c r="E34" s="42"/>
      <c r="F34" s="40"/>
      <c r="G34" s="6"/>
      <c r="H34" s="6"/>
      <c r="R34" s="3"/>
      <c r="T34" s="6"/>
      <c r="U34" s="267"/>
      <c r="V34" s="6"/>
      <c r="W34" s="6"/>
    </row>
    <row r="35" spans="2:23" s="5" customFormat="1" ht="15" customHeight="1" thickTop="1">
      <c r="B35" s="764" t="s">
        <v>94</v>
      </c>
      <c r="C35" s="619" t="s">
        <v>145</v>
      </c>
      <c r="D35" s="620">
        <f>SUM(D32,D23)</f>
        <v>2914220.3639636002</v>
      </c>
      <c r="E35" s="621">
        <f ca="1">SUM(E32,E23)</f>
        <v>2830839.2213155557</v>
      </c>
      <c r="F35" s="622">
        <f>SUM(F32,F23)</f>
        <v>571838.64259722992</v>
      </c>
      <c r="G35" s="167"/>
      <c r="H35" s="627">
        <f ca="1">SUM(H32,H23)</f>
        <v>6316898.2278763857</v>
      </c>
      <c r="J35" s="166"/>
      <c r="K35" s="169"/>
      <c r="L35" s="170"/>
      <c r="M35" s="170"/>
      <c r="N35" s="170"/>
      <c r="O35" s="168"/>
      <c r="P35" s="170"/>
      <c r="R35" s="764" t="s">
        <v>252</v>
      </c>
      <c r="S35" s="619" t="s">
        <v>145</v>
      </c>
      <c r="T35" s="629">
        <f ca="1">SUM(T32,T23)</f>
        <v>4611545.515937103</v>
      </c>
      <c r="U35" s="630">
        <f ca="1">SUM(U32,U23)</f>
        <v>1705352.7119392818</v>
      </c>
      <c r="V35" s="167"/>
      <c r="W35" s="633">
        <f ca="1">SUM(W32,W23)</f>
        <v>6316898.2278763847</v>
      </c>
    </row>
    <row r="36" spans="2:23" s="5" customFormat="1" ht="15" customHeight="1" thickBot="1">
      <c r="B36" s="765"/>
      <c r="C36" s="623" t="s">
        <v>192</v>
      </c>
      <c r="D36" s="624">
        <f ca="1">D35/$E$37</f>
        <v>5776.8453923596708</v>
      </c>
      <c r="E36" s="625">
        <f ca="1">E35/$E$37</f>
        <v>5611.5593434141774</v>
      </c>
      <c r="F36" s="626">
        <f ca="1">F35/$E$37</f>
        <v>1133.5530656878896</v>
      </c>
      <c r="G36" s="167"/>
      <c r="H36" s="628">
        <f ca="1">H35/$E$37</f>
        <v>12521.957801461738</v>
      </c>
      <c r="J36" s="169"/>
      <c r="K36" s="169"/>
      <c r="L36" s="170"/>
      <c r="M36" s="170"/>
      <c r="N36" s="170"/>
      <c r="O36" s="168"/>
      <c r="P36" s="170"/>
      <c r="R36" s="765"/>
      <c r="S36" s="623" t="s">
        <v>192</v>
      </c>
      <c r="T36" s="631">
        <f ca="1">T35/$E$37</f>
        <v>9141.4450996303931</v>
      </c>
      <c r="U36" s="632">
        <f ca="1">U35/$E$37</f>
        <v>3380.5127018313428</v>
      </c>
      <c r="V36" s="167"/>
      <c r="W36" s="634">
        <f ca="1">W35/$E$37</f>
        <v>12521.957801461736</v>
      </c>
    </row>
    <row r="37" spans="2:23" ht="15.95" customHeight="1" thickTop="1">
      <c r="B37" s="135" t="s">
        <v>224</v>
      </c>
      <c r="C37" s="135"/>
      <c r="D37" s="135"/>
      <c r="E37" s="146">
        <f ca="1">FICHA!F31</f>
        <v>504.4657016124898</v>
      </c>
      <c r="R37" s="135" t="str">
        <f ca="1">_xlfn.CONCAT("*/ Tipo de Cambio Promedio de la Cosecha [BCCR]- CRC/USD: ",E37)</f>
        <v>*/ Tipo de Cambio Promedio de la Cosecha [BCCR]- CRC/USD: 504.46570161249</v>
      </c>
      <c r="S37" s="135"/>
      <c r="T37" s="135"/>
    </row>
    <row r="38" spans="2:23">
      <c r="B38" s="147" t="str">
        <f>Estructuras!$B$51</f>
        <v>Fuente: Instituto del Café de Costa Rica (ICAFE).</v>
      </c>
      <c r="C38" s="135"/>
      <c r="D38" s="135"/>
      <c r="E38" s="135"/>
      <c r="R38" s="147" t="str">
        <f>Estructuras!$B$51</f>
        <v>Fuente: Instituto del Café de Costa Rica (ICAFE).</v>
      </c>
      <c r="S38" s="135"/>
      <c r="T38" s="135"/>
    </row>
    <row r="39" spans="2:23" ht="21">
      <c r="B39" s="1" t="str">
        <f>B1</f>
        <v>Estructura de Costos de Renovación de Café</v>
      </c>
      <c r="C39" s="15"/>
      <c r="D39" s="15"/>
      <c r="E39" s="15"/>
      <c r="F39" s="15"/>
      <c r="G39" s="15"/>
      <c r="H39" s="15"/>
      <c r="J39" s="1" t="str">
        <f>B39</f>
        <v>Estructura de Costos de Renovación de Café</v>
      </c>
      <c r="K39" s="1"/>
      <c r="L39" s="1"/>
      <c r="M39" s="1"/>
      <c r="N39" s="1"/>
      <c r="O39" s="1"/>
      <c r="P39" s="1"/>
    </row>
    <row r="40" spans="2:23" ht="21">
      <c r="B40" s="1" t="str">
        <f>'R-1'!A2</f>
        <v>Recomendación Técnica Nacional</v>
      </c>
      <c r="C40" s="15"/>
      <c r="D40" s="15"/>
      <c r="E40" s="15"/>
      <c r="F40" s="15"/>
      <c r="G40" s="15"/>
      <c r="H40" s="15"/>
      <c r="J40" s="1" t="str">
        <f>B40</f>
        <v>Recomendación Técnica Nacional</v>
      </c>
      <c r="K40" s="1"/>
      <c r="L40" s="1"/>
      <c r="M40" s="1"/>
      <c r="N40" s="1"/>
      <c r="O40" s="1"/>
      <c r="P40" s="1"/>
      <c r="T40" s="11"/>
    </row>
    <row r="41" spans="2:23" ht="21">
      <c r="B41" s="1" t="str">
        <f>B3</f>
        <v>Cosecha 2025-2026 (Abr-Mar)</v>
      </c>
      <c r="C41" s="15"/>
      <c r="D41" s="15"/>
      <c r="E41" s="15"/>
      <c r="F41" s="15"/>
      <c r="G41" s="15"/>
      <c r="H41" s="15"/>
      <c r="J41" s="1" t="str">
        <f>B41</f>
        <v>Cosecha 2025-2026 (Abr-Mar)</v>
      </c>
      <c r="K41" s="1"/>
      <c r="L41" s="1"/>
      <c r="M41" s="1"/>
      <c r="N41" s="1"/>
      <c r="O41" s="1"/>
      <c r="P41" s="1"/>
    </row>
    <row r="42" spans="2:23" ht="21">
      <c r="B42" s="1" t="s">
        <v>97</v>
      </c>
      <c r="C42" s="15"/>
      <c r="D42" s="15"/>
      <c r="E42" s="15"/>
      <c r="F42" s="15"/>
      <c r="G42" s="15"/>
      <c r="H42" s="15"/>
      <c r="J42" s="1" t="s">
        <v>98</v>
      </c>
      <c r="K42" s="1"/>
      <c r="L42" s="1"/>
      <c r="M42" s="1"/>
      <c r="N42" s="1"/>
      <c r="O42" s="1"/>
      <c r="P42" s="1"/>
    </row>
    <row r="43" spans="2:23" ht="13.5" thickBot="1"/>
    <row r="44" spans="2:23" ht="13.5" thickBot="1">
      <c r="D44" s="18" t="s">
        <v>85</v>
      </c>
      <c r="E44" s="19"/>
      <c r="F44" s="6" t="s">
        <v>86</v>
      </c>
      <c r="H44" s="36" t="s">
        <v>2</v>
      </c>
      <c r="L44" s="18" t="s">
        <v>85</v>
      </c>
      <c r="M44" s="19"/>
      <c r="N44" s="6" t="s">
        <v>86</v>
      </c>
      <c r="P44" s="36" t="s">
        <v>2</v>
      </c>
    </row>
    <row r="45" spans="2:23" ht="13.5" thickBot="1">
      <c r="B45" s="22" t="s">
        <v>73</v>
      </c>
      <c r="C45" s="22"/>
      <c r="D45" s="2" t="s">
        <v>83</v>
      </c>
      <c r="E45" s="38" t="s">
        <v>84</v>
      </c>
      <c r="F45" s="2" t="s">
        <v>87</v>
      </c>
      <c r="H45" s="37" t="s">
        <v>21</v>
      </c>
      <c r="J45" s="22" t="s">
        <v>73</v>
      </c>
      <c r="K45" s="22"/>
      <c r="L45" s="2" t="s">
        <v>83</v>
      </c>
      <c r="M45" s="38" t="s">
        <v>84</v>
      </c>
      <c r="N45" s="2" t="s">
        <v>87</v>
      </c>
      <c r="P45" s="37" t="s">
        <v>22</v>
      </c>
    </row>
    <row r="46" spans="2:23">
      <c r="B46" s="41" t="s">
        <v>79</v>
      </c>
      <c r="C46" s="35"/>
      <c r="D46" s="9">
        <f>SUM(FICHA!B7:B8)*FICHA!F7</f>
        <v>578310.43400000001</v>
      </c>
      <c r="E46" s="34" t="s">
        <v>49</v>
      </c>
      <c r="F46" s="39" t="s">
        <v>49</v>
      </c>
      <c r="H46" s="137">
        <f>SUM(D46:F46)</f>
        <v>578310.43400000001</v>
      </c>
      <c r="J46" s="14" t="s">
        <v>95</v>
      </c>
      <c r="K46" s="35"/>
      <c r="L46" s="9">
        <f>FICHA!C12*FICHA!$F$7</f>
        <v>42144.739000000001</v>
      </c>
      <c r="M46" s="44">
        <f>SUM(Estructuras!T66:T67)</f>
        <v>383481.51666666666</v>
      </c>
      <c r="N46" s="39" t="s">
        <v>49</v>
      </c>
      <c r="O46" s="6"/>
      <c r="P46" s="137">
        <f>SUM(L46:N46)</f>
        <v>425626.25566666666</v>
      </c>
    </row>
    <row r="47" spans="2:23">
      <c r="B47" s="41" t="s">
        <v>74</v>
      </c>
      <c r="C47" s="35"/>
      <c r="D47" s="9">
        <f>FICHA!B9*FICHA!$F$7</f>
        <v>562038.33400000003</v>
      </c>
      <c r="E47" s="44">
        <f>SUM(Estructuras!H14,Estructuras!H16)</f>
        <v>1575792.7390000001</v>
      </c>
      <c r="F47" s="40" t="s">
        <v>49</v>
      </c>
      <c r="H47" s="138">
        <f t="shared" ref="H47:H56" si="12">SUM(D47:F47)</f>
        <v>2137831.0729999999</v>
      </c>
      <c r="J47" t="s">
        <v>30</v>
      </c>
      <c r="K47" s="35"/>
      <c r="L47" s="9">
        <f>FICHA!C14*FICHA!$F$7</f>
        <v>74363.497000000003</v>
      </c>
      <c r="M47" s="44">
        <f ca="1">SUM(Estructuras!T68:T72)</f>
        <v>200260.68538000001</v>
      </c>
      <c r="N47" s="40" t="s">
        <v>49</v>
      </c>
      <c r="O47" s="6"/>
      <c r="P47" s="138">
        <f t="shared" ref="P47:P55" ca="1" si="13">SUM(L47:N47)</f>
        <v>274624.18238000001</v>
      </c>
    </row>
    <row r="48" spans="2:23">
      <c r="B48" t="s">
        <v>75</v>
      </c>
      <c r="C48" s="3"/>
      <c r="D48" s="9">
        <f>FICHA!B10*FICHA!$F$7</f>
        <v>71597.240000000005</v>
      </c>
      <c r="E48" s="44">
        <f>Estructuras!H15</f>
        <v>66391.113599999997</v>
      </c>
      <c r="F48" s="40" t="s">
        <v>49</v>
      </c>
      <c r="H48" s="138">
        <f t="shared" si="12"/>
        <v>137988.3536</v>
      </c>
      <c r="J48" t="s">
        <v>80</v>
      </c>
      <c r="K48" s="3"/>
      <c r="L48" s="9">
        <f>FICHA!C15*FICHA!$F$7</f>
        <v>37588.551000000007</v>
      </c>
      <c r="M48" s="34" t="s">
        <v>49</v>
      </c>
      <c r="N48" s="40" t="s">
        <v>49</v>
      </c>
      <c r="O48" s="6"/>
      <c r="P48" s="138">
        <f t="shared" si="13"/>
        <v>37588.551000000007</v>
      </c>
    </row>
    <row r="49" spans="2:16">
      <c r="B49" t="s">
        <v>76</v>
      </c>
      <c r="C49" s="3"/>
      <c r="D49" s="9">
        <f>FICHA!B11*FICHA!$F$7</f>
        <v>15295.774000000001</v>
      </c>
      <c r="E49" s="34" t="s">
        <v>49</v>
      </c>
      <c r="F49" s="40" t="s">
        <v>49</v>
      </c>
      <c r="H49" s="138">
        <f t="shared" si="12"/>
        <v>15295.774000000001</v>
      </c>
      <c r="J49" t="s">
        <v>394</v>
      </c>
      <c r="K49" s="3"/>
      <c r="L49" s="9">
        <f>FICHA!C16*FICHA!$F$7</f>
        <v>76967.032999999996</v>
      </c>
      <c r="M49" s="34" t="s">
        <v>49</v>
      </c>
      <c r="N49" s="40" t="s">
        <v>49</v>
      </c>
      <c r="O49" s="6"/>
      <c r="P49" s="138">
        <f t="shared" si="13"/>
        <v>76967.032999999996</v>
      </c>
    </row>
    <row r="50" spans="2:16">
      <c r="B50" t="s">
        <v>77</v>
      </c>
      <c r="C50" s="3"/>
      <c r="D50" s="9">
        <f>FICHA!B12*FICHA!$F$7</f>
        <v>32381.478999999999</v>
      </c>
      <c r="E50" s="44">
        <f>SUM(Estructuras!H17:H19)</f>
        <v>354040.4055555556</v>
      </c>
      <c r="F50" s="40" t="s">
        <v>49</v>
      </c>
      <c r="H50" s="138">
        <f t="shared" si="12"/>
        <v>386421.88455555559</v>
      </c>
      <c r="J50" t="s">
        <v>395</v>
      </c>
      <c r="K50" s="3"/>
      <c r="L50" s="9">
        <f>FICHA!C17*FICHA!$F$7</f>
        <v>48002.695</v>
      </c>
      <c r="M50" s="44">
        <f>SUM(Estructuras!T73:T75)</f>
        <v>15358.49792</v>
      </c>
      <c r="N50" s="40" t="s">
        <v>49</v>
      </c>
      <c r="O50" s="6"/>
      <c r="P50" s="138">
        <f t="shared" si="13"/>
        <v>63361.192920000001</v>
      </c>
    </row>
    <row r="51" spans="2:16">
      <c r="B51" t="s">
        <v>229</v>
      </c>
      <c r="C51" s="3"/>
      <c r="D51" s="9">
        <f>FICHA!B13*FICHA!F7</f>
        <v>13668.564</v>
      </c>
      <c r="E51" s="44">
        <f>Estructuras!H20</f>
        <v>42068.333333333336</v>
      </c>
      <c r="F51" s="256" t="s">
        <v>49</v>
      </c>
      <c r="H51" s="138">
        <f t="shared" si="12"/>
        <v>55736.897333333334</v>
      </c>
      <c r="J51" t="s">
        <v>229</v>
      </c>
      <c r="K51" s="3"/>
      <c r="L51" s="53" t="s">
        <v>49</v>
      </c>
      <c r="M51" s="54" t="s">
        <v>49</v>
      </c>
      <c r="N51" s="256" t="s">
        <v>49</v>
      </c>
      <c r="O51" s="6"/>
      <c r="P51" s="138">
        <f t="shared" si="13"/>
        <v>0</v>
      </c>
    </row>
    <row r="52" spans="2:16">
      <c r="B52" t="s">
        <v>30</v>
      </c>
      <c r="C52" s="3"/>
      <c r="D52" s="9">
        <f>FICHA!B14*FICHA!$F$7</f>
        <v>37425.83</v>
      </c>
      <c r="E52" s="44">
        <f ca="1">SUM(Estructuras!H21:H25)</f>
        <v>112022.05589999999</v>
      </c>
      <c r="F52" s="40" t="s">
        <v>49</v>
      </c>
      <c r="H52" s="138">
        <f t="shared" ca="1" si="12"/>
        <v>149447.88589999999</v>
      </c>
      <c r="J52" t="s">
        <v>81</v>
      </c>
      <c r="K52" s="3"/>
      <c r="L52" s="9">
        <f>FICHA!C18*FICHA!$F$7</f>
        <v>51094.394</v>
      </c>
      <c r="M52" s="54" t="s">
        <v>49</v>
      </c>
      <c r="N52" s="40" t="s">
        <v>49</v>
      </c>
      <c r="O52" s="6"/>
      <c r="P52" s="138">
        <f t="shared" si="13"/>
        <v>51094.394</v>
      </c>
    </row>
    <row r="53" spans="2:16">
      <c r="B53" s="41" t="s">
        <v>394</v>
      </c>
      <c r="C53" s="3"/>
      <c r="D53" s="9">
        <f>FICHA!B16*FICHA!$F$7</f>
        <v>122366.19200000001</v>
      </c>
      <c r="E53" s="55" t="s">
        <v>49</v>
      </c>
      <c r="F53" s="40" t="s">
        <v>49</v>
      </c>
      <c r="H53" s="138">
        <f t="shared" si="12"/>
        <v>122366.19200000001</v>
      </c>
      <c r="J53" t="s">
        <v>82</v>
      </c>
      <c r="K53" s="3"/>
      <c r="L53" s="9">
        <f>FICHA!C19*FICHA!$F$7</f>
        <v>34334.131000000001</v>
      </c>
      <c r="M53" s="44">
        <f>Estructuras!T65</f>
        <v>73744.625</v>
      </c>
      <c r="N53" s="40" t="s">
        <v>49</v>
      </c>
      <c r="O53" s="6"/>
      <c r="P53" s="138">
        <f t="shared" si="13"/>
        <v>108078.75599999999</v>
      </c>
    </row>
    <row r="54" spans="2:16">
      <c r="B54" s="41" t="s">
        <v>395</v>
      </c>
      <c r="C54" s="3"/>
      <c r="D54" s="9">
        <f>FICHA!B17*FICHA!$F$7</f>
        <v>22618.219000000001</v>
      </c>
      <c r="E54" s="44">
        <f>SUM(Estructuras!H26:H28)</f>
        <v>7679.2489599999999</v>
      </c>
      <c r="F54" s="40" t="s">
        <v>49</v>
      </c>
      <c r="H54" s="138">
        <f t="shared" si="12"/>
        <v>30297.467960000002</v>
      </c>
      <c r="J54" t="s">
        <v>88</v>
      </c>
      <c r="K54" s="3"/>
      <c r="L54" s="9">
        <f>SUM(L46:L53)*FICHA!F8</f>
        <v>164241.465024</v>
      </c>
      <c r="M54" s="34" t="s">
        <v>49</v>
      </c>
      <c r="N54" s="40" t="s">
        <v>49</v>
      </c>
      <c r="O54" s="6"/>
      <c r="P54" s="138">
        <f t="shared" si="13"/>
        <v>164241.465024</v>
      </c>
    </row>
    <row r="55" spans="2:16">
      <c r="B55" t="s">
        <v>88</v>
      </c>
      <c r="C55" s="3"/>
      <c r="D55" s="9">
        <f>SUM(D46:D54)*FICHA!F8</f>
        <v>655939.35093960015</v>
      </c>
      <c r="E55" s="34" t="s">
        <v>49</v>
      </c>
      <c r="F55" s="40" t="s">
        <v>49</v>
      </c>
      <c r="H55" s="138">
        <f t="shared" si="12"/>
        <v>655939.35093960015</v>
      </c>
      <c r="J55" t="s">
        <v>91</v>
      </c>
      <c r="K55" s="3"/>
      <c r="L55" s="9" t="s">
        <v>49</v>
      </c>
      <c r="M55" s="34" t="s">
        <v>49</v>
      </c>
      <c r="N55" s="43">
        <f>Estructuras!T79</f>
        <v>21488.87</v>
      </c>
      <c r="O55" s="6"/>
      <c r="P55" s="138">
        <f t="shared" si="13"/>
        <v>21488.87</v>
      </c>
    </row>
    <row r="56" spans="2:16">
      <c r="B56" t="s">
        <v>91</v>
      </c>
      <c r="C56" s="3"/>
      <c r="D56" s="6" t="s">
        <v>49</v>
      </c>
      <c r="E56" s="34" t="s">
        <v>49</v>
      </c>
      <c r="F56" s="43">
        <f>Estructuras!H32</f>
        <v>148768.98749999999</v>
      </c>
      <c r="H56" s="138">
        <f t="shared" si="12"/>
        <v>148768.98749999999</v>
      </c>
      <c r="K56" s="3"/>
      <c r="L56" s="6"/>
      <c r="M56" s="34"/>
      <c r="N56" s="43"/>
      <c r="O56" s="6"/>
      <c r="P56" s="138"/>
    </row>
    <row r="57" spans="2:16" ht="4.5" customHeight="1" thickBot="1">
      <c r="D57" s="6"/>
      <c r="E57" s="136"/>
      <c r="F57" s="40"/>
      <c r="H57" s="37"/>
      <c r="L57" s="6"/>
      <c r="M57" s="136"/>
      <c r="N57" s="139"/>
      <c r="O57" s="6"/>
      <c r="P57" s="37"/>
    </row>
    <row r="58" spans="2:16">
      <c r="B58" s="766" t="s">
        <v>89</v>
      </c>
      <c r="C58" s="676" t="s">
        <v>145</v>
      </c>
      <c r="D58" s="677">
        <f>SUM(D46:D57)</f>
        <v>2111641.4169396004</v>
      </c>
      <c r="E58" s="678">
        <f ca="1">SUM(E46:E57)</f>
        <v>2157993.896348889</v>
      </c>
      <c r="F58" s="679">
        <f>SUM(F46:F57)</f>
        <v>148768.98749999999</v>
      </c>
      <c r="G58" s="8"/>
      <c r="H58" s="684">
        <f ca="1">SUM(H46:H57)</f>
        <v>4418404.3007884882</v>
      </c>
      <c r="J58" s="766" t="s">
        <v>89</v>
      </c>
      <c r="K58" s="676" t="s">
        <v>145</v>
      </c>
      <c r="L58" s="677">
        <f>SUM(L46:L56)</f>
        <v>528736.50502399995</v>
      </c>
      <c r="M58" s="678">
        <f ca="1">SUM(M46:M56)</f>
        <v>672845.32496666664</v>
      </c>
      <c r="N58" s="679">
        <f>SUM(N46:N56)</f>
        <v>21488.87</v>
      </c>
      <c r="O58" s="140"/>
      <c r="P58" s="684">
        <f ca="1">SUM(P46:P56)</f>
        <v>1223070.6999906667</v>
      </c>
    </row>
    <row r="59" spans="2:16" ht="13.5" thickBot="1">
      <c r="B59" s="767"/>
      <c r="C59" s="680" t="s">
        <v>170</v>
      </c>
      <c r="D59" s="681">
        <f ca="1">D58/$E$37</f>
        <v>4185.896900799964</v>
      </c>
      <c r="E59" s="682">
        <f ca="1">E58/$E$37</f>
        <v>4277.781203857885</v>
      </c>
      <c r="F59" s="683">
        <f ca="1">F58/$E$37</f>
        <v>294.90406785727987</v>
      </c>
      <c r="G59" s="8"/>
      <c r="H59" s="685">
        <f ca="1">H58/$E$37</f>
        <v>8758.5821725151254</v>
      </c>
      <c r="J59" s="767"/>
      <c r="K59" s="680" t="s">
        <v>170</v>
      </c>
      <c r="L59" s="681">
        <f ca="1">L58/$E$37</f>
        <v>1048.1119000438091</v>
      </c>
      <c r="M59" s="682">
        <f ca="1">M58/$E$37</f>
        <v>1333.7781395562929</v>
      </c>
      <c r="N59" s="683">
        <f ca="1">N58/$E$37</f>
        <v>42.59728645835051</v>
      </c>
      <c r="O59" s="140"/>
      <c r="P59" s="685">
        <f ca="1">P58/$E$37</f>
        <v>2424.4873260584527</v>
      </c>
    </row>
    <row r="60" spans="2:16">
      <c r="D60" s="6"/>
      <c r="E60" s="42"/>
      <c r="F60" s="40"/>
      <c r="H60" s="36"/>
      <c r="L60" s="6"/>
      <c r="M60" s="42"/>
      <c r="N60" s="40"/>
      <c r="O60" s="6"/>
      <c r="P60" s="36"/>
    </row>
    <row r="61" spans="2:16">
      <c r="B61" s="41" t="s">
        <v>249</v>
      </c>
      <c r="D61" s="46" t="s">
        <v>49</v>
      </c>
      <c r="E61" s="255" t="s">
        <v>49</v>
      </c>
      <c r="F61" s="256" t="s">
        <v>49</v>
      </c>
      <c r="H61" s="257">
        <f>SUM(D61:F61)</f>
        <v>0</v>
      </c>
      <c r="J61" s="41" t="s">
        <v>249</v>
      </c>
      <c r="L61" s="9">
        <f>Estructuras!T86</f>
        <v>273842.44200000004</v>
      </c>
      <c r="M61" s="255" t="s">
        <v>49</v>
      </c>
      <c r="N61" s="256" t="s">
        <v>49</v>
      </c>
      <c r="O61" s="6"/>
      <c r="P61" s="138">
        <f t="shared" ref="P61:P65" si="14">SUM(L61:N61)</f>
        <v>273842.44200000004</v>
      </c>
    </row>
    <row r="62" spans="2:16">
      <c r="B62" s="41" t="s">
        <v>250</v>
      </c>
      <c r="D62" s="46" t="s">
        <v>49</v>
      </c>
      <c r="E62" s="255" t="s">
        <v>49</v>
      </c>
      <c r="F62" s="256" t="s">
        <v>49</v>
      </c>
      <c r="H62" s="257">
        <f t="shared" ref="H62" si="15">SUM(D62:F62)</f>
        <v>0</v>
      </c>
      <c r="J62" s="41" t="s">
        <v>250</v>
      </c>
      <c r="L62" s="46" t="s">
        <v>49</v>
      </c>
      <c r="M62" s="255" t="s">
        <v>49</v>
      </c>
      <c r="N62" s="43">
        <f>Estructuras!T87</f>
        <v>15298.354799999999</v>
      </c>
      <c r="O62" s="6"/>
      <c r="P62" s="138">
        <f t="shared" si="14"/>
        <v>15298.354799999999</v>
      </c>
    </row>
    <row r="63" spans="2:16">
      <c r="B63" t="s">
        <v>113</v>
      </c>
      <c r="D63" s="6" t="s">
        <v>49</v>
      </c>
      <c r="E63" s="42" t="s">
        <v>49</v>
      </c>
      <c r="F63" s="43">
        <f>Estructuras!H39</f>
        <v>26021.495034274994</v>
      </c>
      <c r="H63" s="138">
        <f>SUM(D63:F63)</f>
        <v>26021.495034274994</v>
      </c>
      <c r="J63" t="s">
        <v>90</v>
      </c>
      <c r="L63" s="6" t="s">
        <v>49</v>
      </c>
      <c r="M63" s="42" t="s">
        <v>49</v>
      </c>
      <c r="N63" s="43">
        <f>F63</f>
        <v>26021.495034274994</v>
      </c>
      <c r="O63" s="6"/>
      <c r="P63" s="138">
        <f t="shared" si="14"/>
        <v>26021.495034274994</v>
      </c>
    </row>
    <row r="64" spans="2:16">
      <c r="B64" t="s">
        <v>114</v>
      </c>
      <c r="D64" s="6" t="s">
        <v>49</v>
      </c>
      <c r="E64" s="42" t="s">
        <v>49</v>
      </c>
      <c r="F64" s="43">
        <f>Estructuras!H42</f>
        <v>116591.11011433999</v>
      </c>
      <c r="H64" s="138">
        <f>SUM(D64:F64)</f>
        <v>116591.11011433999</v>
      </c>
      <c r="J64" t="s">
        <v>92</v>
      </c>
      <c r="L64" s="6" t="s">
        <v>49</v>
      </c>
      <c r="M64" s="42" t="s">
        <v>49</v>
      </c>
      <c r="N64" s="43">
        <f>F64</f>
        <v>116591.11011433999</v>
      </c>
      <c r="O64" s="6"/>
      <c r="P64" s="138">
        <f t="shared" si="14"/>
        <v>116591.11011433999</v>
      </c>
    </row>
    <row r="65" spans="2:18">
      <c r="B65" t="s">
        <v>150</v>
      </c>
      <c r="D65" s="6" t="s">
        <v>49</v>
      </c>
      <c r="E65" s="42" t="s">
        <v>49</v>
      </c>
      <c r="F65" s="43">
        <f>Estructuras!H47</f>
        <v>50528.61</v>
      </c>
      <c r="H65" s="138">
        <f>SUM(D65:F65)</f>
        <v>50528.61</v>
      </c>
      <c r="J65" t="s">
        <v>93</v>
      </c>
      <c r="L65" s="6" t="s">
        <v>49</v>
      </c>
      <c r="M65" s="42" t="s">
        <v>49</v>
      </c>
      <c r="N65" s="43">
        <f>F65</f>
        <v>50528.61</v>
      </c>
      <c r="O65" s="6"/>
      <c r="P65" s="138">
        <f t="shared" si="14"/>
        <v>50528.61</v>
      </c>
    </row>
    <row r="66" spans="2:18" ht="4.5" customHeight="1" thickBot="1">
      <c r="D66" s="6"/>
      <c r="E66" s="136"/>
      <c r="F66" s="40"/>
      <c r="H66" s="37"/>
      <c r="L66" s="6"/>
      <c r="M66" s="136"/>
      <c r="N66" s="40"/>
      <c r="O66" s="6"/>
      <c r="P66" s="37"/>
    </row>
    <row r="67" spans="2:18">
      <c r="B67" s="762" t="s">
        <v>32</v>
      </c>
      <c r="C67" s="676" t="s">
        <v>145</v>
      </c>
      <c r="D67" s="677">
        <f>SUM(D60:D66)</f>
        <v>0</v>
      </c>
      <c r="E67" s="678">
        <f>SUM(E60:E66)</f>
        <v>0</v>
      </c>
      <c r="F67" s="679">
        <f>SUM(F60:F66)</f>
        <v>193141.21514861495</v>
      </c>
      <c r="G67" s="11"/>
      <c r="H67" s="684">
        <f>SUM(H60:H66)</f>
        <v>193141.21514861495</v>
      </c>
      <c r="J67" s="762" t="s">
        <v>32</v>
      </c>
      <c r="K67" s="676" t="s">
        <v>145</v>
      </c>
      <c r="L67" s="677">
        <f>SUM(L60:L65)</f>
        <v>273842.44200000004</v>
      </c>
      <c r="M67" s="678">
        <f t="shared" ref="M67:N67" si="16">SUM(M60:M65)</f>
        <v>0</v>
      </c>
      <c r="N67" s="679">
        <f t="shared" si="16"/>
        <v>208439.56994861498</v>
      </c>
      <c r="O67" s="9"/>
      <c r="P67" s="684">
        <f>SUM(P60:P65)</f>
        <v>482282.01194861496</v>
      </c>
    </row>
    <row r="68" spans="2:18" ht="13.5" thickBot="1">
      <c r="B68" s="763"/>
      <c r="C68" s="680" t="s">
        <v>170</v>
      </c>
      <c r="D68" s="681">
        <f ca="1">D67/$E$37</f>
        <v>0</v>
      </c>
      <c r="E68" s="682">
        <f ca="1">E67/$E$37</f>
        <v>0</v>
      </c>
      <c r="F68" s="683">
        <f ca="1">F67/$E$37</f>
        <v>382.8629271152675</v>
      </c>
      <c r="G68" s="11"/>
      <c r="H68" s="685">
        <f ca="1">H67/$E$37</f>
        <v>382.8629271152675</v>
      </c>
      <c r="J68" s="763"/>
      <c r="K68" s="680" t="s">
        <v>170</v>
      </c>
      <c r="L68" s="681">
        <f ca="1">L67/$E$37</f>
        <v>542.83659151589802</v>
      </c>
      <c r="M68" s="682">
        <f ca="1">M67/$E$37</f>
        <v>0</v>
      </c>
      <c r="N68" s="683">
        <f ca="1">N67/$E$37</f>
        <v>413.18878425699165</v>
      </c>
      <c r="O68" s="9"/>
      <c r="P68" s="685">
        <f ca="1">P67/$E$37</f>
        <v>956.02537577288956</v>
      </c>
    </row>
    <row r="69" spans="2:18" ht="8.25" customHeight="1" thickBot="1">
      <c r="B69" s="3"/>
      <c r="D69" s="6"/>
      <c r="E69" s="42"/>
      <c r="F69" s="40"/>
      <c r="H69" s="6"/>
      <c r="J69" s="3"/>
      <c r="L69" s="6"/>
      <c r="M69" s="42"/>
      <c r="N69" s="40"/>
      <c r="O69" s="6"/>
      <c r="P69" s="6"/>
    </row>
    <row r="70" spans="2:18">
      <c r="B70" s="768" t="s">
        <v>94</v>
      </c>
      <c r="C70" s="635" t="s">
        <v>145</v>
      </c>
      <c r="D70" s="636">
        <f>SUM(D67,D58)</f>
        <v>2111641.4169396004</v>
      </c>
      <c r="E70" s="637">
        <f ca="1">SUM(E67,E58)</f>
        <v>2157993.896348889</v>
      </c>
      <c r="F70" s="638">
        <f>SUM(F67,F58)</f>
        <v>341910.20264861494</v>
      </c>
      <c r="G70" s="11"/>
      <c r="H70" s="643">
        <f ca="1">SUM(D70:F70)</f>
        <v>4611545.5159371039</v>
      </c>
      <c r="J70" s="768" t="s">
        <v>94</v>
      </c>
      <c r="K70" s="635" t="s">
        <v>145</v>
      </c>
      <c r="L70" s="636">
        <f>SUM(L67,L58)</f>
        <v>802578.94702399999</v>
      </c>
      <c r="M70" s="637">
        <f ca="1">SUM(M67,M58)</f>
        <v>672845.32496666664</v>
      </c>
      <c r="N70" s="638">
        <f>SUM(N67,N58)</f>
        <v>229928.43994861498</v>
      </c>
      <c r="O70" s="9"/>
      <c r="P70" s="643">
        <f ca="1">SUM(L70:N70)</f>
        <v>1705352.7119392816</v>
      </c>
      <c r="R70" s="11"/>
    </row>
    <row r="71" spans="2:18" ht="13.5" thickBot="1">
      <c r="B71" s="769"/>
      <c r="C71" s="639" t="s">
        <v>170</v>
      </c>
      <c r="D71" s="640">
        <f ca="1">D70/$E$37</f>
        <v>4185.896900799964</v>
      </c>
      <c r="E71" s="641">
        <f ca="1">E70/$E$37</f>
        <v>4277.781203857885</v>
      </c>
      <c r="F71" s="642">
        <f ca="1">F70/$E$37</f>
        <v>677.76699497254731</v>
      </c>
      <c r="G71" s="11"/>
      <c r="H71" s="644">
        <f ca="1">H70/$E$37</f>
        <v>9141.4450996303949</v>
      </c>
      <c r="J71" s="769"/>
      <c r="K71" s="639" t="s">
        <v>170</v>
      </c>
      <c r="L71" s="640">
        <f ca="1">L70/$E$37</f>
        <v>1590.9484915597072</v>
      </c>
      <c r="M71" s="641">
        <f ca="1">M70/$E$37</f>
        <v>1333.7781395562929</v>
      </c>
      <c r="N71" s="642">
        <f ca="1">N70/$E$37</f>
        <v>455.78607071534219</v>
      </c>
      <c r="O71" s="9"/>
      <c r="P71" s="644">
        <f ca="1">P70/$E$37</f>
        <v>3380.5127018313424</v>
      </c>
    </row>
    <row r="72" spans="2:18" ht="19.5" customHeight="1">
      <c r="B72" s="10" t="str">
        <f>B37</f>
        <v>*/ Tipo de Cambio Promedio de la Cosecha [BCCR]- CRC/USD:</v>
      </c>
      <c r="C72" s="10"/>
      <c r="E72" s="33">
        <f ca="1">E37</f>
        <v>504.4657016124898</v>
      </c>
      <c r="J72" s="10" t="str">
        <f>B72</f>
        <v>*/ Tipo de Cambio Promedio de la Cosecha [BCCR]- CRC/USD:</v>
      </c>
      <c r="M72" s="33">
        <f ca="1">E37</f>
        <v>504.4657016124898</v>
      </c>
    </row>
    <row r="73" spans="2:18">
      <c r="B73" s="7" t="str">
        <f>B38</f>
        <v>Fuente: Instituto del Café de Costa Rica (ICAFE).</v>
      </c>
      <c r="J73" s="7" t="str">
        <f>B38</f>
        <v>Fuente: Instituto del Café de Costa Rica (ICAFE).</v>
      </c>
    </row>
    <row r="76" spans="2:18">
      <c r="D76" s="11">
        <f>Estructuras!H9</f>
        <v>2111641.4169395999</v>
      </c>
      <c r="H76" s="11"/>
      <c r="P76" s="11"/>
    </row>
    <row r="77" spans="2:18">
      <c r="D77" s="11">
        <f>D76-D70</f>
        <v>0</v>
      </c>
    </row>
  </sheetData>
  <sheetProtection algorithmName="SHA-512" hashValue="6JB1yJg5JmrsOv/dUaKezzGf042IBbNg27cIehm5mCfwFcf3o3ym+1PapEpfpK60Ea32RA6zCWhmutLMB4EiEQ==" saltValue="/jgNPjoM4oU6m9HSKTSTdQ==" spinCount="100000" sheet="1" objects="1" scenarios="1"/>
  <mergeCells count="12">
    <mergeCell ref="J70:J71"/>
    <mergeCell ref="B23:B24"/>
    <mergeCell ref="B32:B33"/>
    <mergeCell ref="B35:B36"/>
    <mergeCell ref="B58:B59"/>
    <mergeCell ref="B67:B68"/>
    <mergeCell ref="B70:B71"/>
    <mergeCell ref="R23:R24"/>
    <mergeCell ref="R32:R33"/>
    <mergeCell ref="R35:R36"/>
    <mergeCell ref="J58:J59"/>
    <mergeCell ref="J67:J68"/>
  </mergeCells>
  <phoneticPr fontId="14" type="noConversion"/>
  <printOptions horizontalCentered="1" verticalCentered="1"/>
  <pageMargins left="0.78740157480314965" right="0.78740157480314965" top="1.5354330708661419" bottom="0.98425196850393704" header="0" footer="0"/>
  <pageSetup paperSize="9" scale="95" orientation="portrait" r:id="rId1"/>
  <headerFooter alignWithMargins="0"/>
  <rowBreaks count="1" manualBreakCount="1">
    <brk id="3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BE73-A9A4-4FA9-8762-1D281E87AABB}">
  <sheetPr>
    <tabColor rgb="FFEBECC4"/>
  </sheetPr>
  <dimension ref="A1:I78"/>
  <sheetViews>
    <sheetView showGridLines="0" workbookViewId="0">
      <selection activeCell="A3" sqref="A3"/>
    </sheetView>
  </sheetViews>
  <sheetFormatPr baseColWidth="10" defaultRowHeight="12.75"/>
  <cols>
    <col min="1" max="1" width="3" customWidth="1"/>
    <col min="2" max="2" width="31" customWidth="1"/>
    <col min="3" max="4" width="13.28515625" customWidth="1"/>
    <col min="5" max="5" width="2.5703125" customWidth="1"/>
    <col min="6" max="6" width="13.28515625" customWidth="1"/>
  </cols>
  <sheetData>
    <row r="1" spans="1:6" ht="18">
      <c r="A1" s="291" t="s">
        <v>254</v>
      </c>
      <c r="B1" s="290"/>
      <c r="C1" s="155"/>
      <c r="D1" s="155"/>
      <c r="F1" s="155"/>
    </row>
    <row r="2" spans="1:6" ht="18">
      <c r="A2" s="291" t="s">
        <v>143</v>
      </c>
      <c r="B2" s="290"/>
      <c r="C2" s="155"/>
      <c r="D2" s="155"/>
      <c r="F2" s="155"/>
    </row>
    <row r="3" spans="1:6" ht="18">
      <c r="A3" s="291" t="str">
        <f>Estructuras!A3</f>
        <v>Cosecha 2025-2026 (Abr-Mar)</v>
      </c>
      <c r="B3" s="290"/>
      <c r="C3" s="155"/>
      <c r="D3" s="155"/>
      <c r="F3" s="155"/>
    </row>
    <row r="4" spans="1:6" ht="13.5" thickBot="1">
      <c r="A4" s="5"/>
      <c r="B4" s="5"/>
      <c r="C4" s="5"/>
      <c r="D4" s="5"/>
      <c r="F4" s="5"/>
    </row>
    <row r="5" spans="1:6" ht="13.5" thickBot="1">
      <c r="A5" s="148"/>
      <c r="B5" s="148"/>
      <c r="C5" s="157" t="s">
        <v>251</v>
      </c>
      <c r="D5" s="158"/>
      <c r="F5" s="160" t="s">
        <v>2</v>
      </c>
    </row>
    <row r="6" spans="1:6" ht="13.5" thickBot="1">
      <c r="A6" s="148"/>
      <c r="B6" s="150" t="s">
        <v>100</v>
      </c>
      <c r="C6" s="143" t="s">
        <v>21</v>
      </c>
      <c r="D6" s="162" t="s">
        <v>22</v>
      </c>
      <c r="F6" s="163" t="s">
        <v>23</v>
      </c>
    </row>
    <row r="7" spans="1:6">
      <c r="A7" s="41"/>
      <c r="B7" s="41"/>
      <c r="C7" s="41"/>
      <c r="D7" s="47"/>
      <c r="F7" s="283"/>
    </row>
    <row r="8" spans="1:6">
      <c r="A8" s="58">
        <v>1</v>
      </c>
      <c r="B8" s="48" t="s">
        <v>104</v>
      </c>
      <c r="C8" s="269">
        <f>SUM(C9:C11)</f>
        <v>2111641.4169395999</v>
      </c>
      <c r="D8" s="270">
        <f t="shared" ref="D8" si="0">SUM(D9:D11)</f>
        <v>528736.50502400007</v>
      </c>
      <c r="F8" s="284">
        <f>SUM(F9:F11)</f>
        <v>2640377.9219636</v>
      </c>
    </row>
    <row r="9" spans="1:6">
      <c r="A9" s="6"/>
      <c r="B9" s="41" t="s">
        <v>105</v>
      </c>
      <c r="C9" s="56">
        <f>Estructuras!H10</f>
        <v>1455702.0659999999</v>
      </c>
      <c r="D9" s="268">
        <f>Estructuras!T61</f>
        <v>364495.04000000004</v>
      </c>
      <c r="F9" s="285">
        <f>SUM(C9:D9)</f>
        <v>1820197.1059999999</v>
      </c>
    </row>
    <row r="10" spans="1:6">
      <c r="A10" s="6"/>
      <c r="B10" s="35" t="s">
        <v>106</v>
      </c>
      <c r="C10" s="56">
        <f>C9*(Estructuras!$C$11/100)</f>
        <v>655939.35093959991</v>
      </c>
      <c r="D10" s="268">
        <f>D9*(Estructuras!$C$11/100)</f>
        <v>164241.465024</v>
      </c>
      <c r="F10" s="285">
        <f t="shared" ref="F10" si="1">SUM(C10:D10)</f>
        <v>820180.81596359995</v>
      </c>
    </row>
    <row r="11" spans="1:6" ht="6" customHeight="1" thickBot="1">
      <c r="A11" s="46"/>
      <c r="B11" s="41"/>
      <c r="C11" s="56"/>
      <c r="D11" s="268"/>
      <c r="F11" s="285"/>
    </row>
    <row r="12" spans="1:6" s="5" customFormat="1" ht="20.100000000000001" customHeight="1" thickBot="1">
      <c r="A12" s="276">
        <v>2</v>
      </c>
      <c r="B12" s="273" t="s">
        <v>134</v>
      </c>
      <c r="C12" s="274">
        <f ca="1">SUM(C13:C26)</f>
        <v>2157993.8963488895</v>
      </c>
      <c r="D12" s="275">
        <f ca="1">SUM(D13:D26)</f>
        <v>672845.32496666652</v>
      </c>
      <c r="F12" s="286">
        <f ca="1">SUM(F13:F27)</f>
        <v>2830839.2213155562</v>
      </c>
    </row>
    <row r="13" spans="1:6">
      <c r="A13" s="46"/>
      <c r="B13" s="41" t="s">
        <v>110</v>
      </c>
      <c r="C13" s="56">
        <f>Estructuras!H14</f>
        <v>1474892.5</v>
      </c>
      <c r="D13" s="268">
        <f>Estructuras!T65</f>
        <v>73744.625</v>
      </c>
      <c r="F13" s="285">
        <f t="shared" ref="F13:F26" si="2">SUM(C13:D13)</f>
        <v>1548637.125</v>
      </c>
    </row>
    <row r="14" spans="1:6">
      <c r="A14" s="46"/>
      <c r="B14" s="41" t="s">
        <v>243</v>
      </c>
      <c r="C14" s="56">
        <f>Estructuras!H15</f>
        <v>66391.113599999997</v>
      </c>
      <c r="D14" s="268" t="s">
        <v>49</v>
      </c>
      <c r="F14" s="285">
        <f t="shared" si="2"/>
        <v>66391.113599999997</v>
      </c>
    </row>
    <row r="15" spans="1:6">
      <c r="A15" s="46"/>
      <c r="B15" s="41" t="s">
        <v>400</v>
      </c>
      <c r="C15" s="56">
        <f>Estructuras!H16</f>
        <v>100900.23900000002</v>
      </c>
      <c r="D15" s="268" t="s">
        <v>49</v>
      </c>
      <c r="F15" s="285">
        <f t="shared" si="2"/>
        <v>100900.23900000002</v>
      </c>
    </row>
    <row r="16" spans="1:6">
      <c r="A16" s="6"/>
      <c r="B16" s="172" t="s">
        <v>44</v>
      </c>
      <c r="C16" s="271">
        <f>Estructuras!H17</f>
        <v>134669.70000000001</v>
      </c>
      <c r="D16" s="280" t="s">
        <v>49</v>
      </c>
      <c r="F16" s="287">
        <f t="shared" si="2"/>
        <v>134669.70000000001</v>
      </c>
    </row>
    <row r="17" spans="1:9">
      <c r="A17" s="6"/>
      <c r="B17" s="186" t="s">
        <v>45</v>
      </c>
      <c r="C17" s="56">
        <f>Estructuras!H18</f>
        <v>180274.42777777778</v>
      </c>
      <c r="D17" s="281">
        <f>Estructuras!T66</f>
        <v>313108.21666666667</v>
      </c>
      <c r="F17" s="285">
        <f t="shared" si="2"/>
        <v>493382.64444444445</v>
      </c>
    </row>
    <row r="18" spans="1:9">
      <c r="A18" s="6"/>
      <c r="B18" s="179" t="s">
        <v>46</v>
      </c>
      <c r="C18" s="272">
        <f>Estructuras!H19</f>
        <v>39096.277777777781</v>
      </c>
      <c r="D18" s="282">
        <f>Estructuras!T67</f>
        <v>70373.3</v>
      </c>
      <c r="F18" s="288">
        <f t="shared" si="2"/>
        <v>109469.57777777778</v>
      </c>
    </row>
    <row r="19" spans="1:9">
      <c r="A19" s="6"/>
      <c r="B19" t="s">
        <v>238</v>
      </c>
      <c r="C19" s="56">
        <f>Estructuras!H20</f>
        <v>42068.333333333336</v>
      </c>
      <c r="D19" s="268" t="s">
        <v>49</v>
      </c>
      <c r="F19" s="285">
        <f t="shared" si="2"/>
        <v>42068.333333333336</v>
      </c>
    </row>
    <row r="20" spans="1:9">
      <c r="A20" s="6"/>
      <c r="B20" t="s">
        <v>381</v>
      </c>
      <c r="C20" s="56">
        <f ca="1">Estructuras!H21</f>
        <v>42856.38</v>
      </c>
      <c r="D20" s="268">
        <f ca="1">Estructuras!T68</f>
        <v>81641.403900000005</v>
      </c>
      <c r="F20" s="285">
        <f t="shared" ca="1" si="2"/>
        <v>124497.78390000001</v>
      </c>
    </row>
    <row r="21" spans="1:9">
      <c r="A21" s="6"/>
      <c r="B21" t="s">
        <v>382</v>
      </c>
      <c r="C21" s="56">
        <f>Estructuras!H22</f>
        <v>38569.841999999997</v>
      </c>
      <c r="D21" s="268">
        <f>Estructuras!T69</f>
        <v>73496.976699999999</v>
      </c>
      <c r="F21" s="285">
        <f t="shared" si="2"/>
        <v>112066.8187</v>
      </c>
    </row>
    <row r="22" spans="1:9">
      <c r="A22" s="6"/>
      <c r="B22" t="s">
        <v>383</v>
      </c>
      <c r="C22" s="56">
        <f>Estructuras!H23</f>
        <v>15808.41</v>
      </c>
      <c r="D22" s="268">
        <f>Estructuras!T70</f>
        <v>18063.743160000002</v>
      </c>
      <c r="F22" s="285">
        <f t="shared" si="2"/>
        <v>33872.153160000002</v>
      </c>
    </row>
    <row r="23" spans="1:9">
      <c r="A23" s="6"/>
      <c r="B23" t="s">
        <v>384</v>
      </c>
      <c r="C23" s="56">
        <f>Estructuras!H24</f>
        <v>7215.4919999999993</v>
      </c>
      <c r="D23" s="268">
        <f>Estructuras!T71</f>
        <v>6866.7432199999994</v>
      </c>
      <c r="F23" s="285">
        <f t="shared" si="2"/>
        <v>14082.235219999999</v>
      </c>
    </row>
    <row r="24" spans="1:9">
      <c r="A24" s="6"/>
      <c r="B24" t="s">
        <v>385</v>
      </c>
      <c r="C24" s="56">
        <f>Estructuras!H25</f>
        <v>7571.9319000000005</v>
      </c>
      <c r="D24" s="268">
        <f>Estructuras!T72</f>
        <v>20191.8184</v>
      </c>
      <c r="F24" s="285">
        <f t="shared" si="2"/>
        <v>27763.7503</v>
      </c>
    </row>
    <row r="25" spans="1:9">
      <c r="A25" s="6"/>
      <c r="B25" t="s">
        <v>386</v>
      </c>
      <c r="C25" s="56">
        <f>Estructuras!H26</f>
        <v>6463.88</v>
      </c>
      <c r="D25" s="268">
        <f>Estructuras!T73</f>
        <v>12927.76</v>
      </c>
      <c r="F25" s="285">
        <f t="shared" si="2"/>
        <v>19391.64</v>
      </c>
    </row>
    <row r="26" spans="1:9">
      <c r="A26" s="6"/>
      <c r="B26" t="s">
        <v>387</v>
      </c>
      <c r="C26" s="56">
        <f>Estructuras!H28</f>
        <v>1215.36896</v>
      </c>
      <c r="D26" s="268">
        <f>Estructuras!T75</f>
        <v>2430.73792</v>
      </c>
      <c r="F26" s="285">
        <f t="shared" si="2"/>
        <v>3646.1068800000003</v>
      </c>
    </row>
    <row r="27" spans="1:9" ht="6" customHeight="1">
      <c r="A27" s="6"/>
      <c r="B27" s="41"/>
      <c r="C27" s="46"/>
      <c r="D27" s="55"/>
      <c r="F27" s="257"/>
    </row>
    <row r="28" spans="1:9">
      <c r="A28" s="58">
        <v>3</v>
      </c>
      <c r="B28" s="48" t="s">
        <v>133</v>
      </c>
      <c r="C28" s="269">
        <f>SUM(C29:C31)</f>
        <v>148768.98749999999</v>
      </c>
      <c r="D28" s="270">
        <f t="shared" ref="D28" si="3">SUM(D29:D31)</f>
        <v>21488.87</v>
      </c>
      <c r="F28" s="284">
        <f>SUM(F29:F31)</f>
        <v>170257.85749999998</v>
      </c>
    </row>
    <row r="29" spans="1:9">
      <c r="A29" s="46"/>
      <c r="B29" s="41" t="s">
        <v>117</v>
      </c>
      <c r="C29" s="56">
        <f>Estructuras!H33</f>
        <v>19688.487499999999</v>
      </c>
      <c r="D29" s="268">
        <f>Estructuras!T80</f>
        <v>15034.844999999999</v>
      </c>
      <c r="F29" s="285">
        <f t="shared" ref="F29:F30" si="4">SUM(C29:D29)</f>
        <v>34723.332499999997</v>
      </c>
    </row>
    <row r="30" spans="1:9">
      <c r="A30" s="149"/>
      <c r="B30" s="14" t="s">
        <v>118</v>
      </c>
      <c r="C30" s="56">
        <f>Estructuras!H34</f>
        <v>129080.5</v>
      </c>
      <c r="D30" s="268">
        <f>Estructuras!T81</f>
        <v>6454.0249999999996</v>
      </c>
      <c r="F30" s="285">
        <f t="shared" si="4"/>
        <v>135534.52499999999</v>
      </c>
    </row>
    <row r="31" spans="1:9" ht="6" customHeight="1" thickBot="1">
      <c r="A31" s="46"/>
      <c r="B31" s="41"/>
      <c r="C31" s="56"/>
      <c r="D31" s="268"/>
      <c r="F31" s="285"/>
    </row>
    <row r="32" spans="1:9" ht="20.100000000000001" customHeight="1" thickBot="1">
      <c r="A32" s="48"/>
      <c r="B32" s="277" t="s">
        <v>253</v>
      </c>
      <c r="C32" s="278">
        <f ca="1">SUM(C8,C12,C28)</f>
        <v>4418404.3007884892</v>
      </c>
      <c r="D32" s="279">
        <f ca="1">SUM(D8,D12,D28)</f>
        <v>1223070.6999906667</v>
      </c>
      <c r="F32" s="289">
        <f ca="1">SUM(F8,F12,F28)</f>
        <v>5641475.0007791556</v>
      </c>
      <c r="H32" s="12"/>
      <c r="I32" s="12"/>
    </row>
    <row r="33" spans="1:6">
      <c r="A33" s="5"/>
      <c r="B33" s="10" t="s">
        <v>224</v>
      </c>
      <c r="C33" s="41"/>
      <c r="D33" s="145">
        <f ca="1">FICHA!F31</f>
        <v>504.4657016124898</v>
      </c>
      <c r="F33" s="41"/>
    </row>
    <row r="34" spans="1:6">
      <c r="A34" s="5"/>
      <c r="B34" s="7" t="s">
        <v>161</v>
      </c>
      <c r="C34" s="41"/>
      <c r="D34" s="41"/>
      <c r="F34" s="41"/>
    </row>
    <row r="35" spans="1:6">
      <c r="A35" s="5"/>
      <c r="B35" s="5"/>
      <c r="C35" s="168"/>
      <c r="D35" s="5"/>
      <c r="F35" s="5"/>
    </row>
    <row r="36" spans="1:6">
      <c r="A36" s="5"/>
      <c r="B36" s="5"/>
      <c r="C36" s="5"/>
      <c r="D36" s="5"/>
      <c r="F36" s="5"/>
    </row>
    <row r="37" spans="1:6">
      <c r="A37" s="5"/>
      <c r="B37" s="5"/>
      <c r="C37" s="5"/>
      <c r="D37" s="5"/>
      <c r="F37" s="5"/>
    </row>
    <row r="38" spans="1:6">
      <c r="A38" s="5"/>
      <c r="B38" s="5"/>
      <c r="C38" s="5"/>
      <c r="D38" s="5"/>
      <c r="F38" s="5"/>
    </row>
    <row r="39" spans="1:6">
      <c r="A39" s="5"/>
      <c r="B39" s="5"/>
      <c r="C39" s="5"/>
      <c r="D39" s="5"/>
      <c r="F39" s="5"/>
    </row>
    <row r="40" spans="1:6">
      <c r="B40" s="5"/>
      <c r="C40" s="5"/>
      <c r="D40" s="5"/>
      <c r="F40" s="5"/>
    </row>
    <row r="41" spans="1:6">
      <c r="B41" s="5"/>
      <c r="C41" s="5"/>
      <c r="D41" s="5"/>
      <c r="F41" s="5"/>
    </row>
    <row r="58" spans="1:6">
      <c r="A58" s="5"/>
    </row>
    <row r="60" spans="1:6">
      <c r="B60" s="5"/>
      <c r="C60" s="5"/>
      <c r="D60" s="5"/>
      <c r="F60" s="5"/>
    </row>
    <row r="64" spans="1:6">
      <c r="A64" s="5"/>
    </row>
    <row r="66" spans="1:6">
      <c r="B66" s="5"/>
      <c r="C66" s="5"/>
      <c r="D66" s="5"/>
      <c r="F66" s="5"/>
    </row>
    <row r="76" spans="1:6">
      <c r="A76" s="5"/>
    </row>
    <row r="78" spans="1:6">
      <c r="B78" s="5"/>
      <c r="C78" s="5"/>
      <c r="D78" s="5"/>
      <c r="F78" s="5"/>
    </row>
  </sheetData>
  <sheetProtection algorithmName="SHA-512" hashValue="LSY8ot49T1CxXK7HP4ZDB7ZQjXc8KbSy5WEA3rZU4R84NB98HVh9mewo0VfXto/I/JJH0C6Pp0XHZyUCnmg+ww==" saltValue="afqRayCefMSnB6a5Iz5xGg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F26"/>
  <sheetViews>
    <sheetView showGridLines="0" workbookViewId="0">
      <selection activeCell="L27" sqref="L27"/>
    </sheetView>
  </sheetViews>
  <sheetFormatPr baseColWidth="10" defaultRowHeight="12.75"/>
  <cols>
    <col min="1" max="1" width="4.28515625" customWidth="1"/>
    <col min="2" max="2" width="11.28515625" bestFit="1" customWidth="1"/>
    <col min="3" max="3" width="11.85546875" bestFit="1" customWidth="1"/>
    <col min="4" max="4" width="11.28515625" customWidth="1"/>
    <col min="5" max="5" width="9.140625" bestFit="1" customWidth="1"/>
    <col min="6" max="6" width="5.42578125" customWidth="1"/>
  </cols>
  <sheetData>
    <row r="1" spans="1:6" ht="15.75">
      <c r="A1" s="32" t="s">
        <v>167</v>
      </c>
      <c r="B1" s="13"/>
      <c r="C1" s="13"/>
      <c r="D1" s="13"/>
      <c r="E1" s="13"/>
      <c r="F1" s="13"/>
    </row>
    <row r="2" spans="1:6" ht="15.75">
      <c r="A2" s="32" t="s">
        <v>12</v>
      </c>
      <c r="B2" s="13"/>
      <c r="C2" s="13"/>
      <c r="D2" s="13"/>
      <c r="E2" s="13"/>
      <c r="F2" s="13"/>
    </row>
    <row r="3" spans="1:6" ht="15.75">
      <c r="A3" s="32" t="str">
        <f>Estructuras!A3</f>
        <v>Cosecha 2025-2026 (Abr-Mar)</v>
      </c>
      <c r="B3" s="13"/>
      <c r="C3" s="13"/>
      <c r="D3" s="13"/>
      <c r="E3" s="13"/>
      <c r="F3" s="13"/>
    </row>
    <row r="4" spans="1:6" ht="22.5" customHeight="1"/>
    <row r="5" spans="1:6" ht="15">
      <c r="A5" s="24" t="s">
        <v>59</v>
      </c>
    </row>
    <row r="6" spans="1:6" ht="15">
      <c r="A6" s="24"/>
      <c r="B6" s="8" t="s">
        <v>18</v>
      </c>
    </row>
    <row r="7" spans="1:6" ht="15">
      <c r="A7" s="24"/>
      <c r="B7" s="8" t="s">
        <v>68</v>
      </c>
    </row>
    <row r="8" spans="1:6" ht="15.75" thickBot="1">
      <c r="A8" s="24"/>
    </row>
    <row r="9" spans="1:6" ht="13.5" thickBot="1">
      <c r="C9" s="21" t="s">
        <v>21</v>
      </c>
      <c r="D9" s="21" t="s">
        <v>22</v>
      </c>
    </row>
    <row r="10" spans="1:6">
      <c r="A10" t="s">
        <v>60</v>
      </c>
      <c r="C10" s="59">
        <f ca="1">Estructuras!H36</f>
        <v>4418404.3007884892</v>
      </c>
      <c r="D10" s="127">
        <f ca="1">Estructuras!T83</f>
        <v>1223070.6999906667</v>
      </c>
    </row>
    <row r="11" spans="1:6">
      <c r="A11" s="25" t="s">
        <v>17</v>
      </c>
      <c r="B11" s="26"/>
      <c r="C11" s="128">
        <f ca="1">C10*D12</f>
        <v>3534723.4406307917</v>
      </c>
      <c r="D11" s="128">
        <f ca="1">D10*D12</f>
        <v>978456.55999253341</v>
      </c>
    </row>
    <row r="12" spans="1:6">
      <c r="A12" s="25" t="s">
        <v>61</v>
      </c>
      <c r="B12" s="25"/>
      <c r="C12" s="128">
        <f ca="1">SUM(C11:D11)</f>
        <v>4513180.0006233249</v>
      </c>
      <c r="D12" s="27">
        <v>0.8</v>
      </c>
    </row>
    <row r="13" spans="1:6">
      <c r="A13" t="s">
        <v>62</v>
      </c>
      <c r="C13" s="617">
        <f>FICHA!J30</f>
        <v>6.7799999999999999E-2</v>
      </c>
      <c r="D13" s="6"/>
    </row>
    <row r="14" spans="1:6">
      <c r="A14" t="s">
        <v>63</v>
      </c>
    </row>
    <row r="15" spans="1:6">
      <c r="A15" s="3" t="s">
        <v>64</v>
      </c>
      <c r="C15">
        <v>8</v>
      </c>
    </row>
    <row r="16" spans="1:6">
      <c r="A16" s="3" t="s">
        <v>65</v>
      </c>
      <c r="C16">
        <v>2</v>
      </c>
    </row>
    <row r="17" spans="1:5" ht="13.5" thickBot="1"/>
    <row r="18" spans="1:5" ht="13.5" thickBot="1">
      <c r="A18" s="28" t="s">
        <v>14</v>
      </c>
      <c r="B18" s="29" t="s">
        <v>66</v>
      </c>
      <c r="C18" s="29" t="s">
        <v>67</v>
      </c>
      <c r="D18" s="29" t="s">
        <v>15</v>
      </c>
      <c r="E18" s="30" t="s">
        <v>16</v>
      </c>
    </row>
    <row r="19" spans="1:5">
      <c r="A19" s="6">
        <v>1</v>
      </c>
      <c r="B19" s="12">
        <f ca="1">C10*D12</f>
        <v>3534723.4406307917</v>
      </c>
      <c r="C19" s="12">
        <f t="shared" ref="C19:C26" si="0">IF(OR(A19&lt;=$C$16,A19&gt;$C$15),0,PPMT($C$13,(A19-$C$16),$C$15-$C$16,-SUM($B$19:$B$20)))</f>
        <v>0</v>
      </c>
      <c r="D19" s="12">
        <f ca="1">B19*$C$13</f>
        <v>239654.24927476767</v>
      </c>
      <c r="E19" s="12">
        <f ca="1">B19-C19</f>
        <v>3534723.4406307917</v>
      </c>
    </row>
    <row r="20" spans="1:5">
      <c r="A20" s="6">
        <v>2</v>
      </c>
      <c r="B20" s="12">
        <f ca="1">D10*D12</f>
        <v>978456.55999253341</v>
      </c>
      <c r="C20" s="12">
        <f t="shared" si="0"/>
        <v>0</v>
      </c>
      <c r="D20" s="12">
        <f ca="1">SUM(B19,B20)*$C$13</f>
        <v>305993.60404226143</v>
      </c>
      <c r="E20" s="12">
        <f t="shared" ref="E20:E26" ca="1" si="1">E19+B20-C20</f>
        <v>4513180.0006233249</v>
      </c>
    </row>
    <row r="21" spans="1:5">
      <c r="A21" s="6">
        <v>3</v>
      </c>
      <c r="B21" s="12"/>
      <c r="C21" s="12">
        <f t="shared" ca="1" si="0"/>
        <v>634431.39582190721</v>
      </c>
      <c r="D21" s="12">
        <f t="shared" ref="D21:D26" ca="1" si="2">E20*$C$13</f>
        <v>305993.60404226143</v>
      </c>
      <c r="E21" s="12">
        <f t="shared" ca="1" si="1"/>
        <v>3878748.6048014178</v>
      </c>
    </row>
    <row r="22" spans="1:5">
      <c r="A22" s="6">
        <v>4</v>
      </c>
      <c r="B22" s="12"/>
      <c r="C22" s="12">
        <f t="shared" ca="1" si="0"/>
        <v>677445.84445863252</v>
      </c>
      <c r="D22" s="12">
        <f t="shared" ca="1" si="2"/>
        <v>262979.15540553612</v>
      </c>
      <c r="E22" s="12">
        <f t="shared" ca="1" si="1"/>
        <v>3201302.7603427852</v>
      </c>
    </row>
    <row r="23" spans="1:5">
      <c r="A23" s="6">
        <v>5</v>
      </c>
      <c r="B23" s="12"/>
      <c r="C23" s="12">
        <f t="shared" ca="1" si="0"/>
        <v>723376.6727129278</v>
      </c>
      <c r="D23" s="12">
        <f t="shared" ca="1" si="2"/>
        <v>217048.32715124084</v>
      </c>
      <c r="E23" s="12">
        <f t="shared" ca="1" si="1"/>
        <v>2477926.0876298575</v>
      </c>
    </row>
    <row r="24" spans="1:5">
      <c r="A24" s="6">
        <v>6</v>
      </c>
      <c r="B24" s="12"/>
      <c r="C24" s="12">
        <f t="shared" ca="1" si="0"/>
        <v>772421.61112286441</v>
      </c>
      <c r="D24" s="12">
        <f t="shared" ca="1" si="2"/>
        <v>168003.38874130434</v>
      </c>
      <c r="E24" s="12">
        <f t="shared" ca="1" si="1"/>
        <v>1705504.4765069932</v>
      </c>
    </row>
    <row r="25" spans="1:5">
      <c r="A25" s="6">
        <v>7</v>
      </c>
      <c r="B25" s="12"/>
      <c r="C25" s="12">
        <f t="shared" ca="1" si="0"/>
        <v>824791.79635699454</v>
      </c>
      <c r="D25" s="12">
        <f t="shared" ca="1" si="2"/>
        <v>115633.20350717414</v>
      </c>
      <c r="E25" s="12">
        <f t="shared" ca="1" si="1"/>
        <v>880712.68014999863</v>
      </c>
    </row>
    <row r="26" spans="1:5" ht="13.5" thickBot="1">
      <c r="A26" s="2">
        <v>8</v>
      </c>
      <c r="B26" s="31"/>
      <c r="C26" s="31">
        <f t="shared" ca="1" si="0"/>
        <v>880712.68014999875</v>
      </c>
      <c r="D26" s="31">
        <f t="shared" ca="1" si="2"/>
        <v>59712.319714169906</v>
      </c>
      <c r="E26" s="31">
        <f t="shared" ca="1" si="1"/>
        <v>0</v>
      </c>
    </row>
  </sheetData>
  <sheetProtection algorithmName="SHA-512" hashValue="fXS2EF4GOHCIjc/6vobJwvtqYo1AqlXq8jE+35n57ZWf/Mp4V+QwSOCvRd6XaTha1THf7XYsznOJBitqk1TOlg==" saltValue="BGyH4QtYtBx+vmcXpqXrzQ==" spinCount="100000" sheet="1" objects="1" scenarios="1"/>
  <phoneticPr fontId="0" type="noConversion"/>
  <printOptions horizontalCentered="1" verticalCentered="1"/>
  <pageMargins left="0.39370078740157483" right="0.39370078740157483" top="0.39370078740157483" bottom="0.39370078740157483" header="0" footer="0.39370078740157483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CAD9-13DF-4B1C-AAE1-D0B1F5C24364}">
  <sheetPr>
    <tabColor theme="0"/>
  </sheetPr>
  <dimension ref="B2:Q30"/>
  <sheetViews>
    <sheetView showGridLines="0" workbookViewId="0">
      <selection activeCell="B27" sqref="B27"/>
    </sheetView>
  </sheetViews>
  <sheetFormatPr baseColWidth="10" defaultColWidth="11.42578125" defaultRowHeight="12" customHeight="1"/>
  <cols>
    <col min="1" max="1" width="1.7109375" style="608" customWidth="1"/>
    <col min="2" max="2" width="8.42578125" style="607" customWidth="1"/>
    <col min="3" max="14" width="10.42578125" style="607" customWidth="1"/>
    <col min="15" max="15" width="2.28515625" style="608" customWidth="1"/>
    <col min="16" max="16384" width="11.42578125" style="608"/>
  </cols>
  <sheetData>
    <row r="2" spans="2:17" s="616" customFormat="1" ht="21" customHeight="1">
      <c r="B2" s="614" t="s">
        <v>489</v>
      </c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</row>
    <row r="4" spans="2:17" ht="12" customHeight="1">
      <c r="B4" s="607" t="s">
        <v>14</v>
      </c>
      <c r="C4" s="610" t="s">
        <v>477</v>
      </c>
      <c r="D4" s="610" t="s">
        <v>478</v>
      </c>
      <c r="E4" s="610" t="s">
        <v>479</v>
      </c>
      <c r="F4" s="610" t="s">
        <v>480</v>
      </c>
      <c r="G4" s="610" t="s">
        <v>481</v>
      </c>
      <c r="H4" s="610" t="s">
        <v>482</v>
      </c>
      <c r="I4" s="610" t="s">
        <v>483</v>
      </c>
      <c r="J4" s="610" t="s">
        <v>484</v>
      </c>
      <c r="K4" s="610" t="s">
        <v>485</v>
      </c>
      <c r="L4" s="610" t="s">
        <v>486</v>
      </c>
      <c r="M4" s="610" t="s">
        <v>487</v>
      </c>
      <c r="N4" s="610" t="s">
        <v>488</v>
      </c>
      <c r="P4" s="610" t="str">
        <f>C4</f>
        <v>001-Ene</v>
      </c>
      <c r="Q4" s="610" t="str">
        <f>D4</f>
        <v>002-Feb</v>
      </c>
    </row>
    <row r="5" spans="2:17" ht="12" customHeight="1">
      <c r="B5" s="610">
        <v>2006</v>
      </c>
      <c r="C5" s="609">
        <v>498.21612903225821</v>
      </c>
      <c r="D5" s="609">
        <v>483.86448275862062</v>
      </c>
      <c r="E5" s="609">
        <v>503.88306451612897</v>
      </c>
      <c r="F5" s="609">
        <v>506.48749999999995</v>
      </c>
      <c r="G5" s="609">
        <v>508.69177419354827</v>
      </c>
      <c r="H5" s="609">
        <v>511.53416666666675</v>
      </c>
      <c r="I5" s="609">
        <v>514.33887096774185</v>
      </c>
      <c r="J5" s="609">
        <v>516.96951612903217</v>
      </c>
      <c r="K5" s="609">
        <v>519.59216666666669</v>
      </c>
      <c r="L5" s="609">
        <v>519.84516129032238</v>
      </c>
      <c r="M5" s="609">
        <v>516.95866666666666</v>
      </c>
      <c r="N5" s="609">
        <v>517.11709677419356</v>
      </c>
      <c r="P5" s="609">
        <f>C6</f>
        <v>518.0787096774194</v>
      </c>
      <c r="Q5" s="609">
        <f>D6</f>
        <v>501.21689655172406</v>
      </c>
    </row>
    <row r="6" spans="2:17" ht="12" customHeight="1">
      <c r="B6" s="610">
        <f>B5+1</f>
        <v>2007</v>
      </c>
      <c r="C6" s="609">
        <v>518.0787096774194</v>
      </c>
      <c r="D6" s="609">
        <v>501.21689655172406</v>
      </c>
      <c r="E6" s="609">
        <v>518.84080645161293</v>
      </c>
      <c r="F6" s="609">
        <v>518.73699999999997</v>
      </c>
      <c r="G6" s="609">
        <v>518.74467741935484</v>
      </c>
      <c r="H6" s="609">
        <v>518.6871666666666</v>
      </c>
      <c r="I6" s="609">
        <v>518.65564516129029</v>
      </c>
      <c r="J6" s="609">
        <v>518.63177419354849</v>
      </c>
      <c r="K6" s="609">
        <v>518.54466666666679</v>
      </c>
      <c r="L6" s="609">
        <v>518.81451612903209</v>
      </c>
      <c r="M6" s="609">
        <v>513.87216666666666</v>
      </c>
      <c r="N6" s="609">
        <v>498.68693548387091</v>
      </c>
      <c r="P6" s="609">
        <f t="shared" ref="P6:P23" si="0">C7</f>
        <v>497.4735483870968</v>
      </c>
      <c r="Q6" s="609">
        <f t="shared" ref="Q6:Q23" si="1">D7</f>
        <v>496.36603448275872</v>
      </c>
    </row>
    <row r="7" spans="2:17" ht="12" customHeight="1">
      <c r="B7" s="610">
        <f t="shared" ref="B7:B22" si="2">B6+1</f>
        <v>2008</v>
      </c>
      <c r="C7" s="609">
        <v>497.4735483870968</v>
      </c>
      <c r="D7" s="609">
        <v>496.36603448275872</v>
      </c>
      <c r="E7" s="609">
        <v>495.33112903225805</v>
      </c>
      <c r="F7" s="609">
        <v>494.2150000000002</v>
      </c>
      <c r="G7" s="609">
        <v>510.97548387096765</v>
      </c>
      <c r="H7" s="609">
        <v>519.66833333333329</v>
      </c>
      <c r="I7" s="609">
        <v>536.58709677419358</v>
      </c>
      <c r="J7" s="609">
        <v>551.9677419354839</v>
      </c>
      <c r="K7" s="609">
        <v>553.77016666666668</v>
      </c>
      <c r="L7" s="609">
        <v>555.07193548387102</v>
      </c>
      <c r="M7" s="609">
        <v>553.59749999999997</v>
      </c>
      <c r="N7" s="609">
        <v>549.80306451612876</v>
      </c>
      <c r="P7" s="609">
        <f t="shared" si="0"/>
        <v>556.37209677419344</v>
      </c>
      <c r="Q7" s="609">
        <f t="shared" si="1"/>
        <v>543.25103448275866</v>
      </c>
    </row>
    <row r="8" spans="2:17" ht="12" customHeight="1">
      <c r="B8" s="610">
        <f t="shared" si="2"/>
        <v>2009</v>
      </c>
      <c r="C8" s="609">
        <v>556.37209677419344</v>
      </c>
      <c r="D8" s="609">
        <v>543.25103448275866</v>
      </c>
      <c r="E8" s="609">
        <v>565.57177419354832</v>
      </c>
      <c r="F8" s="609">
        <v>570.17033333333336</v>
      </c>
      <c r="G8" s="609">
        <v>574.54483870967726</v>
      </c>
      <c r="H8" s="609">
        <v>576.67049999999995</v>
      </c>
      <c r="I8" s="609">
        <v>581.95338709677412</v>
      </c>
      <c r="J8" s="609">
        <v>586.9412903225807</v>
      </c>
      <c r="K8" s="609">
        <v>586.90966666666645</v>
      </c>
      <c r="L8" s="609">
        <v>582.34548387096777</v>
      </c>
      <c r="M8" s="609">
        <v>567.3358333333332</v>
      </c>
      <c r="N8" s="609">
        <v>567.98741935483872</v>
      </c>
      <c r="P8" s="609">
        <f t="shared" si="0"/>
        <v>564.29629032258072</v>
      </c>
      <c r="Q8" s="609">
        <f t="shared" si="1"/>
        <v>534.53689655172411</v>
      </c>
    </row>
    <row r="9" spans="2:17" ht="12" customHeight="1">
      <c r="B9" s="610">
        <f t="shared" si="2"/>
        <v>2010</v>
      </c>
      <c r="C9" s="609">
        <v>564.29629032258072</v>
      </c>
      <c r="D9" s="609">
        <v>534.53689655172411</v>
      </c>
      <c r="E9" s="609">
        <v>537.67129032258049</v>
      </c>
      <c r="F9" s="609">
        <v>516.37250000000006</v>
      </c>
      <c r="G9" s="609">
        <v>527.65838709677428</v>
      </c>
      <c r="H9" s="609">
        <v>535.1158333333334</v>
      </c>
      <c r="I9" s="609">
        <v>523.96758064516109</v>
      </c>
      <c r="J9" s="609">
        <v>511.99322580645162</v>
      </c>
      <c r="K9" s="609">
        <v>510.17533333333336</v>
      </c>
      <c r="L9" s="609">
        <v>510.35967741935491</v>
      </c>
      <c r="M9" s="609">
        <v>512.34150000000011</v>
      </c>
      <c r="N9" s="609">
        <v>506.3745161290322</v>
      </c>
      <c r="P9" s="609">
        <f t="shared" si="0"/>
        <v>506.97580645161304</v>
      </c>
      <c r="Q9" s="609">
        <f t="shared" si="1"/>
        <v>485.00465517241378</v>
      </c>
    </row>
    <row r="10" spans="2:17" ht="12" customHeight="1">
      <c r="B10" s="610">
        <f t="shared" si="2"/>
        <v>2011</v>
      </c>
      <c r="C10" s="609">
        <v>506.97580645161304</v>
      </c>
      <c r="D10" s="609">
        <v>485.00465517241378</v>
      </c>
      <c r="E10" s="609">
        <v>500.37129032258053</v>
      </c>
      <c r="F10" s="609">
        <v>499.85300000000007</v>
      </c>
      <c r="G10" s="609">
        <v>503.14758064516138</v>
      </c>
      <c r="H10" s="609">
        <v>505.66716666666673</v>
      </c>
      <c r="I10" s="609">
        <v>504.86887096774194</v>
      </c>
      <c r="J10" s="609">
        <v>505.58467741935476</v>
      </c>
      <c r="K10" s="609">
        <v>510.87866666666662</v>
      </c>
      <c r="L10" s="609">
        <v>515.09854838709668</v>
      </c>
      <c r="M10" s="609">
        <v>507.72966666666656</v>
      </c>
      <c r="N10" s="609">
        <v>505.46935483870965</v>
      </c>
      <c r="P10" s="609">
        <f t="shared" si="0"/>
        <v>509.71274193548373</v>
      </c>
      <c r="Q10" s="609">
        <f t="shared" si="1"/>
        <v>510.61862068965502</v>
      </c>
    </row>
    <row r="11" spans="2:17" ht="12" customHeight="1">
      <c r="B11" s="610">
        <f t="shared" si="2"/>
        <v>2012</v>
      </c>
      <c r="C11" s="609">
        <v>509.71274193548373</v>
      </c>
      <c r="D11" s="609">
        <v>510.61862068965502</v>
      </c>
      <c r="E11" s="609">
        <v>508.81451612903237</v>
      </c>
      <c r="F11" s="609">
        <v>505.1703333333333</v>
      </c>
      <c r="G11" s="609">
        <v>504.85693548387098</v>
      </c>
      <c r="H11" s="609">
        <v>500.23783333333341</v>
      </c>
      <c r="I11" s="609">
        <v>500.68419354838704</v>
      </c>
      <c r="J11" s="609">
        <v>499.31338709677425</v>
      </c>
      <c r="K11" s="609">
        <v>497.97383333333335</v>
      </c>
      <c r="L11" s="609">
        <v>497.80274193548399</v>
      </c>
      <c r="M11" s="609">
        <v>499.90899999999993</v>
      </c>
      <c r="N11" s="609">
        <v>499.74774193548387</v>
      </c>
      <c r="P11" s="609">
        <f t="shared" si="0"/>
        <v>500.82177419354844</v>
      </c>
      <c r="Q11" s="609">
        <f t="shared" si="1"/>
        <v>484.41793103448288</v>
      </c>
    </row>
    <row r="12" spans="2:17" ht="12" customHeight="1">
      <c r="B12" s="610">
        <f t="shared" si="2"/>
        <v>2013</v>
      </c>
      <c r="C12" s="609">
        <v>500.82177419354844</v>
      </c>
      <c r="D12" s="609">
        <v>484.41793103448288</v>
      </c>
      <c r="E12" s="609">
        <v>499.08645161290309</v>
      </c>
      <c r="F12" s="609">
        <v>499.03366666666648</v>
      </c>
      <c r="G12" s="609">
        <v>499.05983870967731</v>
      </c>
      <c r="H12" s="609">
        <v>498.88016666666675</v>
      </c>
      <c r="I12" s="609">
        <v>498.73145161290313</v>
      </c>
      <c r="J12" s="609">
        <v>499.10193548387105</v>
      </c>
      <c r="K12" s="609">
        <v>501.26383333333348</v>
      </c>
      <c r="L12" s="609">
        <v>500.0640322580644</v>
      </c>
      <c r="M12" s="609">
        <v>499.71333333333337</v>
      </c>
      <c r="N12" s="609">
        <v>499.72693548387099</v>
      </c>
      <c r="P12" s="609">
        <f t="shared" si="0"/>
        <v>502.84274193548379</v>
      </c>
      <c r="Q12" s="609">
        <f t="shared" si="1"/>
        <v>507.80465517241379</v>
      </c>
    </row>
    <row r="13" spans="2:17" ht="12" customHeight="1">
      <c r="B13" s="610">
        <f t="shared" si="2"/>
        <v>2014</v>
      </c>
      <c r="C13" s="609">
        <v>502.84274193548379</v>
      </c>
      <c r="D13" s="609">
        <v>507.80465517241379</v>
      </c>
      <c r="E13" s="609">
        <v>549.7111290322581</v>
      </c>
      <c r="F13" s="609">
        <v>547.66633333333334</v>
      </c>
      <c r="G13" s="609">
        <v>553.03661290322589</v>
      </c>
      <c r="H13" s="609">
        <v>550.61766666666665</v>
      </c>
      <c r="I13" s="609">
        <v>538.46161290322573</v>
      </c>
      <c r="J13" s="609">
        <v>539.6117741935484</v>
      </c>
      <c r="K13" s="609">
        <v>539.83033333333333</v>
      </c>
      <c r="L13" s="609">
        <v>539.60354838709679</v>
      </c>
      <c r="M13" s="609">
        <v>537.21766666666667</v>
      </c>
      <c r="N13" s="609">
        <v>535.2664516129031</v>
      </c>
      <c r="P13" s="609">
        <f t="shared" si="0"/>
        <v>537.61951612903238</v>
      </c>
      <c r="Q13" s="609">
        <f t="shared" si="1"/>
        <v>518.39068965517242</v>
      </c>
    </row>
    <row r="14" spans="2:17" ht="12" customHeight="1">
      <c r="B14" s="610">
        <f t="shared" si="2"/>
        <v>2015</v>
      </c>
      <c r="C14" s="609">
        <v>537.61951612903238</v>
      </c>
      <c r="D14" s="609">
        <v>518.39068965517242</v>
      </c>
      <c r="E14" s="609">
        <v>533.32532258064509</v>
      </c>
      <c r="F14" s="609">
        <v>532.14716666666664</v>
      </c>
      <c r="G14" s="609">
        <v>532.84629032258067</v>
      </c>
      <c r="H14" s="609">
        <v>535.76750000000004</v>
      </c>
      <c r="I14" s="609">
        <v>534.52838709677428</v>
      </c>
      <c r="J14" s="609">
        <v>534.24290322580646</v>
      </c>
      <c r="K14" s="609">
        <v>535.01016666666669</v>
      </c>
      <c r="L14" s="609">
        <v>534.5654838709678</v>
      </c>
      <c r="M14" s="609">
        <v>533.48766666666666</v>
      </c>
      <c r="N14" s="609">
        <v>534.34419354838712</v>
      </c>
      <c r="P14" s="609">
        <f t="shared" si="0"/>
        <v>536.42838709677414</v>
      </c>
      <c r="Q14" s="609">
        <f t="shared" si="1"/>
        <v>536.69913793103444</v>
      </c>
    </row>
    <row r="15" spans="2:17" ht="12" customHeight="1">
      <c r="B15" s="610">
        <f t="shared" si="2"/>
        <v>2016</v>
      </c>
      <c r="C15" s="609">
        <v>536.42838709677414</v>
      </c>
      <c r="D15" s="609">
        <v>536.69913793103444</v>
      </c>
      <c r="E15" s="609">
        <v>535.41483870967772</v>
      </c>
      <c r="F15" s="609">
        <v>536.07100000000003</v>
      </c>
      <c r="G15" s="609">
        <v>537.51274193548386</v>
      </c>
      <c r="H15" s="609">
        <v>543.39283333333333</v>
      </c>
      <c r="I15" s="609">
        <v>548.2177419354839</v>
      </c>
      <c r="J15" s="609">
        <v>550.6474193548388</v>
      </c>
      <c r="K15" s="609">
        <v>552.18883333333349</v>
      </c>
      <c r="L15" s="609">
        <v>553.43709677419361</v>
      </c>
      <c r="M15" s="609">
        <v>554.36366666666663</v>
      </c>
      <c r="N15" s="609">
        <v>552.49870967741947</v>
      </c>
      <c r="P15" s="609">
        <f t="shared" si="0"/>
        <v>554.79790322580652</v>
      </c>
      <c r="Q15" s="609">
        <f t="shared" si="1"/>
        <v>541.04172413793106</v>
      </c>
    </row>
    <row r="16" spans="2:17" ht="12" customHeight="1">
      <c r="B16" s="610">
        <f t="shared" si="2"/>
        <v>2017</v>
      </c>
      <c r="C16" s="609">
        <v>554.79790322580652</v>
      </c>
      <c r="D16" s="609">
        <v>541.04172413793106</v>
      </c>
      <c r="E16" s="609">
        <v>559.93161290322564</v>
      </c>
      <c r="F16" s="609">
        <v>562.09633333333329</v>
      </c>
      <c r="G16" s="609">
        <v>574.17370967741931</v>
      </c>
      <c r="H16" s="609">
        <v>570.54333333333329</v>
      </c>
      <c r="I16" s="609">
        <v>572.03467741935481</v>
      </c>
      <c r="J16" s="609">
        <v>574.74532258064539</v>
      </c>
      <c r="K16" s="609">
        <v>575.82749999999999</v>
      </c>
      <c r="L16" s="609">
        <v>571.31112903225812</v>
      </c>
      <c r="M16" s="609">
        <v>567.69849999999997</v>
      </c>
      <c r="N16" s="609">
        <v>566.63241935483882</v>
      </c>
      <c r="P16" s="609">
        <f t="shared" si="0"/>
        <v>569.06016129032264</v>
      </c>
      <c r="Q16" s="609">
        <f t="shared" si="1"/>
        <v>550.97224137931028</v>
      </c>
    </row>
    <row r="17" spans="2:17" ht="12" customHeight="1">
      <c r="B17" s="610">
        <f t="shared" si="2"/>
        <v>2018</v>
      </c>
      <c r="C17" s="609">
        <v>569.06016129032264</v>
      </c>
      <c r="D17" s="609">
        <v>550.97224137931028</v>
      </c>
      <c r="E17" s="609">
        <v>567.216935483871</v>
      </c>
      <c r="F17" s="609">
        <v>565.20583333333343</v>
      </c>
      <c r="G17" s="609">
        <v>565.25612903225795</v>
      </c>
      <c r="H17" s="609">
        <v>567.31600000000003</v>
      </c>
      <c r="I17" s="609">
        <v>567.09387096774196</v>
      </c>
      <c r="J17" s="609">
        <v>567.84500000000003</v>
      </c>
      <c r="K17" s="609">
        <v>579.15266666666673</v>
      </c>
      <c r="L17" s="609">
        <v>592.39274193548385</v>
      </c>
      <c r="M17" s="609">
        <v>611.37150000000008</v>
      </c>
      <c r="N17" s="609">
        <v>601.10935483870958</v>
      </c>
      <c r="P17" s="609">
        <f t="shared" si="0"/>
        <v>606.14274193548385</v>
      </c>
      <c r="Q17" s="609">
        <f t="shared" si="1"/>
        <v>589.02068965517253</v>
      </c>
    </row>
    <row r="18" spans="2:17" ht="12" customHeight="1">
      <c r="B18" s="610">
        <f t="shared" si="2"/>
        <v>2019</v>
      </c>
      <c r="C18" s="609">
        <v>606.14274193548385</v>
      </c>
      <c r="D18" s="609">
        <v>589.02068965517253</v>
      </c>
      <c r="E18" s="609">
        <v>603.75709677419366</v>
      </c>
      <c r="F18" s="609">
        <v>599.80700000000002</v>
      </c>
      <c r="G18" s="609">
        <v>591.99096774193549</v>
      </c>
      <c r="H18" s="609">
        <v>586.42116666666664</v>
      </c>
      <c r="I18" s="609">
        <v>576.92645161290318</v>
      </c>
      <c r="J18" s="609">
        <v>568.50387096774193</v>
      </c>
      <c r="K18" s="609">
        <v>577.90549999999973</v>
      </c>
      <c r="L18" s="609">
        <v>581.14467741935471</v>
      </c>
      <c r="M18" s="609">
        <v>576.43450000000007</v>
      </c>
      <c r="N18" s="609">
        <v>568.44403225806434</v>
      </c>
      <c r="P18" s="609">
        <f t="shared" si="0"/>
        <v>570.13129032258064</v>
      </c>
      <c r="Q18" s="609">
        <f t="shared" si="1"/>
        <v>571.1756896551725</v>
      </c>
    </row>
    <row r="19" spans="2:17" ht="12" customHeight="1">
      <c r="B19" s="610">
        <f t="shared" si="2"/>
        <v>2020</v>
      </c>
      <c r="C19" s="609">
        <v>570.13129032258064</v>
      </c>
      <c r="D19" s="609">
        <v>571.1756896551725</v>
      </c>
      <c r="E19" s="609">
        <v>571.18258064516124</v>
      </c>
      <c r="F19" s="609">
        <v>568.94449999999983</v>
      </c>
      <c r="G19" s="609">
        <v>569.8790322580644</v>
      </c>
      <c r="H19" s="609">
        <v>577.50716666666665</v>
      </c>
      <c r="I19" s="609">
        <v>582.06467741935489</v>
      </c>
      <c r="J19" s="609">
        <v>592.83064516129025</v>
      </c>
      <c r="K19" s="609">
        <v>598.005</v>
      </c>
      <c r="L19" s="609">
        <v>603.43709677419338</v>
      </c>
      <c r="M19" s="609">
        <v>607.46000000000015</v>
      </c>
      <c r="N19" s="609">
        <v>606.19258064516134</v>
      </c>
      <c r="P19" s="609">
        <f t="shared" si="0"/>
        <v>611.82838709677424</v>
      </c>
      <c r="Q19" s="609">
        <f t="shared" si="1"/>
        <v>589.93913793103434</v>
      </c>
    </row>
    <row r="20" spans="2:17" ht="12" customHeight="1">
      <c r="B20" s="610">
        <f t="shared" si="2"/>
        <v>2021</v>
      </c>
      <c r="C20" s="609">
        <v>611.82838709677424</v>
      </c>
      <c r="D20" s="609">
        <v>589.93913793103434</v>
      </c>
      <c r="E20" s="609">
        <v>610.95709677419336</v>
      </c>
      <c r="F20" s="609">
        <v>613.22533333333342</v>
      </c>
      <c r="G20" s="609">
        <v>615.4000000000002</v>
      </c>
      <c r="H20" s="609">
        <v>617.52100000000007</v>
      </c>
      <c r="I20" s="609">
        <v>618.90822580645158</v>
      </c>
      <c r="J20" s="609">
        <v>620.44967741935488</v>
      </c>
      <c r="K20" s="609">
        <v>624.7733333333332</v>
      </c>
      <c r="L20" s="609">
        <v>629.7862903225805</v>
      </c>
      <c r="M20" s="609">
        <v>637.6310000000002</v>
      </c>
      <c r="N20" s="609">
        <v>637.9279032258064</v>
      </c>
      <c r="P20" s="609">
        <f t="shared" si="0"/>
        <v>638.56064516129004</v>
      </c>
      <c r="Q20" s="609">
        <f t="shared" si="1"/>
        <v>620.27293103448278</v>
      </c>
    </row>
    <row r="21" spans="2:17" ht="12" customHeight="1">
      <c r="B21" s="610">
        <f t="shared" si="2"/>
        <v>2022</v>
      </c>
      <c r="C21" s="609">
        <v>638.56064516129004</v>
      </c>
      <c r="D21" s="609">
        <v>620.27293103448278</v>
      </c>
      <c r="E21" s="609">
        <v>650.09419354838712</v>
      </c>
      <c r="F21" s="609">
        <v>658.62800000000027</v>
      </c>
      <c r="G21" s="609">
        <v>673.0040322580644</v>
      </c>
      <c r="H21" s="609">
        <v>689.03266666666661</v>
      </c>
      <c r="I21" s="609">
        <v>681.27741935483846</v>
      </c>
      <c r="J21" s="609">
        <v>659.2416129032257</v>
      </c>
      <c r="K21" s="609">
        <v>642.50350000000014</v>
      </c>
      <c r="L21" s="609">
        <v>625.63032258064516</v>
      </c>
      <c r="M21" s="609">
        <v>612.15683333333322</v>
      </c>
      <c r="N21" s="609">
        <v>593.1970967741936</v>
      </c>
      <c r="P21" s="609">
        <f t="shared" si="0"/>
        <v>575.98322580645151</v>
      </c>
      <c r="Q21" s="609">
        <f t="shared" si="1"/>
        <v>567.33160714285714</v>
      </c>
    </row>
    <row r="22" spans="2:17" ht="12" customHeight="1">
      <c r="B22" s="610">
        <f t="shared" si="2"/>
        <v>2023</v>
      </c>
      <c r="C22" s="609">
        <v>575.98322580645151</v>
      </c>
      <c r="D22" s="609">
        <v>567.33160714285714</v>
      </c>
      <c r="E22" s="609">
        <v>548.05080645161286</v>
      </c>
      <c r="F22" s="609">
        <v>538.74500000000012</v>
      </c>
      <c r="G22" s="609">
        <v>541.29435483870964</v>
      </c>
      <c r="H22" s="609">
        <v>543.23366666666664</v>
      </c>
      <c r="I22" s="609">
        <v>544.16516129032266</v>
      </c>
      <c r="J22" s="609">
        <v>539.66903225806459</v>
      </c>
      <c r="K22" s="609">
        <v>536.21483333333344</v>
      </c>
      <c r="L22" s="609">
        <v>534.2424193548386</v>
      </c>
      <c r="M22" s="609">
        <v>532.86016666666671</v>
      </c>
      <c r="N22" s="609">
        <v>526.81903225806445</v>
      </c>
      <c r="P22" s="609">
        <f t="shared" si="0"/>
        <v>518.30500000000006</v>
      </c>
      <c r="Q22" s="609">
        <f t="shared" si="1"/>
        <v>516.30241379310337</v>
      </c>
    </row>
    <row r="23" spans="2:17" ht="12" customHeight="1">
      <c r="B23" s="610">
        <v>2024</v>
      </c>
      <c r="C23" s="609">
        <v>518.30500000000006</v>
      </c>
      <c r="D23" s="609">
        <v>516.30241379310337</v>
      </c>
      <c r="E23" s="609">
        <v>506.80596774193555</v>
      </c>
      <c r="F23" s="609">
        <v>501.77599999999995</v>
      </c>
      <c r="G23" s="609">
        <v>512.21548387096777</v>
      </c>
      <c r="H23" s="609">
        <v>525.6251666666667</v>
      </c>
      <c r="I23" s="609">
        <v>526.20709677419359</v>
      </c>
      <c r="J23" s="609">
        <v>522.7856451612904</v>
      </c>
      <c r="K23" s="609">
        <v>519.00516666666658</v>
      </c>
      <c r="L23" s="609">
        <v>515.68306451612909</v>
      </c>
      <c r="M23" s="609">
        <v>510.46899999999999</v>
      </c>
      <c r="N23" s="609">
        <v>506.02306451612895</v>
      </c>
      <c r="P23" s="609">
        <f t="shared" si="0"/>
        <v>505.62032258064511</v>
      </c>
      <c r="Q23" s="609">
        <f t="shared" si="1"/>
        <v>506.9232142857141</v>
      </c>
    </row>
    <row r="24" spans="2:17" ht="12" customHeight="1">
      <c r="B24" s="610">
        <v>2025</v>
      </c>
      <c r="C24" s="609">
        <v>505.62032258064511</v>
      </c>
      <c r="D24" s="609">
        <v>506.9232142857141</v>
      </c>
      <c r="E24" s="609">
        <v>501.14129032258057</v>
      </c>
      <c r="F24" s="609">
        <v>505.09783333333331</v>
      </c>
      <c r="G24" s="609">
        <v>506.21645161290314</v>
      </c>
      <c r="H24" s="609">
        <v>505.73649999999998</v>
      </c>
      <c r="I24" s="609">
        <v>504.49983870967742</v>
      </c>
      <c r="J24" s="609">
        <v>504.69064516129043</v>
      </c>
      <c r="K24" s="609">
        <v>504.53466666666657</v>
      </c>
      <c r="L24" s="609">
        <v>503.09403225806471</v>
      </c>
      <c r="M24" s="609">
        <v>499.608</v>
      </c>
      <c r="N24" s="609">
        <v>494.79919354838711</v>
      </c>
      <c r="P24" s="609">
        <f t="shared" ref="P24" si="3">C25</f>
        <v>495.13500000000005</v>
      </c>
      <c r="Q24" s="609">
        <f t="shared" ref="Q24" si="4">D25</f>
        <v>484.16964285714283</v>
      </c>
    </row>
    <row r="25" spans="2:17" ht="12" customHeight="1">
      <c r="B25" s="610">
        <v>2026</v>
      </c>
      <c r="C25" s="609">
        <v>495.13500000000005</v>
      </c>
      <c r="D25" s="609">
        <v>484.16964285714283</v>
      </c>
      <c r="E25" s="609">
        <v>469.22822580645152</v>
      </c>
      <c r="F25" s="609">
        <v>459.41650000000004</v>
      </c>
      <c r="G25" s="609">
        <v>454.43193548387109</v>
      </c>
      <c r="H25" s="609">
        <v>455.52483333333345</v>
      </c>
      <c r="I25" s="609">
        <v>451.81018518518516</v>
      </c>
      <c r="J25" s="609"/>
      <c r="K25" s="609"/>
      <c r="L25" s="609"/>
      <c r="M25" s="609"/>
      <c r="N25" s="609"/>
    </row>
    <row r="27" spans="2:17" s="578" customFormat="1" ht="15.95" customHeight="1">
      <c r="B27" s="606">
        <f>IF(UNIT!Z1=1,UNIT!AD3,2025)</f>
        <v>2025</v>
      </c>
      <c r="C27" s="580">
        <f>LOOKUP($B$27,$B$5:$B$26,C5:C26)</f>
        <v>505.62032258064511</v>
      </c>
      <c r="D27" s="580">
        <f>LOOKUP($B$27,$B$5:$B$26,D5:D26)</f>
        <v>506.9232142857141</v>
      </c>
      <c r="E27" s="611">
        <f t="shared" ref="E27:N27" si="5">LOOKUP($B$27,$B$5:$B$26,E5:E26)</f>
        <v>501.14129032258057</v>
      </c>
      <c r="F27" s="611">
        <f t="shared" si="5"/>
        <v>505.09783333333331</v>
      </c>
      <c r="G27" s="611">
        <f t="shared" si="5"/>
        <v>506.21645161290314</v>
      </c>
      <c r="H27" s="611">
        <f t="shared" si="5"/>
        <v>505.73649999999998</v>
      </c>
      <c r="I27" s="611">
        <f t="shared" si="5"/>
        <v>504.49983870967742</v>
      </c>
      <c r="J27" s="611">
        <f t="shared" si="5"/>
        <v>504.69064516129043</v>
      </c>
      <c r="K27" s="611">
        <f t="shared" si="5"/>
        <v>504.53466666666657</v>
      </c>
      <c r="L27" s="611">
        <f t="shared" si="5"/>
        <v>503.09403225806471</v>
      </c>
      <c r="M27" s="611">
        <f t="shared" si="5"/>
        <v>499.608</v>
      </c>
      <c r="N27" s="611">
        <f t="shared" si="5"/>
        <v>494.79919354838711</v>
      </c>
      <c r="P27" s="611">
        <f t="shared" ref="P27:Q27" si="6">LOOKUP($B$27,$B$5:$B$26,P5:P26)</f>
        <v>495.13500000000005</v>
      </c>
      <c r="Q27" s="611">
        <f t="shared" si="6"/>
        <v>484.16964285714283</v>
      </c>
    </row>
    <row r="30" spans="2:17" ht="12" customHeight="1">
      <c r="C30" s="609"/>
    </row>
  </sheetData>
  <sheetProtection algorithmName="SHA-512" hashValue="yxaGLoPuGKUDcpy4gpvXxBKsGsQmPSYqQi9Y3Zjpdj2Dc4lFaRCfmxowp+rmetZSX4LeoCYuUFfO0oHXhMCdjw==" saltValue="S4bgABQeCBQ7SGdMQnTXxg==" spinCount="100000" sheet="1" objects="1" scenarios="1"/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BECC4"/>
  </sheetPr>
  <dimension ref="B1:AB61"/>
  <sheetViews>
    <sheetView showGridLines="0" workbookViewId="0">
      <selection activeCell="F43" sqref="F43:I43"/>
    </sheetView>
  </sheetViews>
  <sheetFormatPr baseColWidth="10" defaultColWidth="11.42578125" defaultRowHeight="12.75"/>
  <cols>
    <col min="1" max="1" width="1.7109375" style="5" customWidth="1"/>
    <col min="2" max="6" width="3.85546875" style="210" customWidth="1"/>
    <col min="7" max="7" width="5.140625" style="210" customWidth="1"/>
    <col min="8" max="8" width="3.85546875" style="210" customWidth="1"/>
    <col min="9" max="9" width="5.140625" style="210" customWidth="1"/>
    <col min="10" max="11" width="3.85546875" style="210" customWidth="1"/>
    <col min="12" max="12" width="1.7109375" style="5" customWidth="1"/>
    <col min="13" max="13" width="23.85546875" style="5" bestFit="1" customWidth="1"/>
    <col min="14" max="15" width="8" style="5" customWidth="1"/>
    <col min="16" max="17" width="9.140625" style="5" bestFit="1" customWidth="1"/>
    <col min="18" max="25" width="8" style="5" customWidth="1"/>
    <col min="26" max="26" width="1.42578125" style="5" customWidth="1"/>
    <col min="27" max="27" width="12.7109375" style="5" bestFit="1" customWidth="1"/>
    <col min="28" max="28" width="6.85546875" style="5" customWidth="1"/>
    <col min="29" max="29" width="12.7109375" style="5" bestFit="1" customWidth="1"/>
    <col min="30" max="16384" width="11.42578125" style="5"/>
  </cols>
  <sheetData>
    <row r="1" spans="13:25" ht="20.25">
      <c r="M1" s="306" t="s">
        <v>492</v>
      </c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</row>
    <row r="2" spans="13:25" ht="20.25">
      <c r="M2" s="306" t="s">
        <v>260</v>
      </c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13:25" ht="20.25">
      <c r="M3" s="306" t="str">
        <f>UPPER(FICHA!E33)</f>
        <v>COSECHA 2025-2026</v>
      </c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</row>
    <row r="4" spans="13:25" ht="10.5" customHeight="1" thickBot="1">
      <c r="M4" s="306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</row>
    <row r="5" spans="13:25" ht="15.95" customHeight="1" thickBot="1">
      <c r="N5" s="187" t="str">
        <f>_xlfn.CONCAT("Meses de la ",FICHA!E33)</f>
        <v>Meses de la Cosecha 2025-2026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9"/>
    </row>
    <row r="6" spans="13:25" ht="3.75" customHeight="1">
      <c r="N6" s="24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59"/>
    </row>
    <row r="7" spans="13:25" ht="15.95" customHeight="1" thickBot="1">
      <c r="M7" s="161" t="s">
        <v>153</v>
      </c>
      <c r="N7" s="241" t="s">
        <v>195</v>
      </c>
      <c r="O7" s="191" t="s">
        <v>196</v>
      </c>
      <c r="P7" s="191" t="s">
        <v>197</v>
      </c>
      <c r="Q7" s="191" t="s">
        <v>198</v>
      </c>
      <c r="R7" s="191" t="s">
        <v>199</v>
      </c>
      <c r="S7" s="191" t="s">
        <v>200</v>
      </c>
      <c r="T7" s="191" t="s">
        <v>201</v>
      </c>
      <c r="U7" s="191" t="s">
        <v>202</v>
      </c>
      <c r="V7" s="191" t="s">
        <v>203</v>
      </c>
      <c r="W7" s="191" t="s">
        <v>204</v>
      </c>
      <c r="X7" s="238" t="s">
        <v>193</v>
      </c>
      <c r="Y7" s="239" t="s">
        <v>194</v>
      </c>
    </row>
    <row r="8" spans="13:25" ht="15.95" customHeight="1">
      <c r="M8" s="5" t="s">
        <v>205</v>
      </c>
      <c r="N8" s="242"/>
      <c r="O8" s="193"/>
      <c r="P8" s="192"/>
      <c r="Q8" s="192"/>
      <c r="R8" s="192"/>
      <c r="S8" s="192"/>
      <c r="T8" s="192"/>
      <c r="U8" s="192"/>
      <c r="V8" s="192"/>
      <c r="W8" s="192"/>
      <c r="X8" s="192"/>
    </row>
    <row r="9" spans="13:25" ht="15.95" customHeight="1">
      <c r="M9" s="194" t="s">
        <v>206</v>
      </c>
      <c r="N9" s="243"/>
      <c r="O9" s="196"/>
      <c r="P9" s="196"/>
      <c r="Q9" s="195"/>
      <c r="R9" s="195"/>
      <c r="S9" s="195"/>
      <c r="T9" s="195"/>
      <c r="U9" s="195"/>
      <c r="V9" s="195"/>
      <c r="W9" s="195"/>
      <c r="X9" s="195"/>
      <c r="Y9" s="194"/>
    </row>
    <row r="10" spans="13:25" ht="15.95" customHeight="1">
      <c r="M10" s="194" t="s">
        <v>255</v>
      </c>
      <c r="N10" s="243"/>
      <c r="O10" s="196"/>
      <c r="P10" s="195"/>
      <c r="Q10" s="195"/>
      <c r="R10" s="195"/>
      <c r="S10" s="195"/>
      <c r="T10" s="195"/>
      <c r="U10" s="195"/>
      <c r="V10" s="195"/>
      <c r="W10" s="195"/>
      <c r="X10" s="195"/>
      <c r="Y10" s="194"/>
    </row>
    <row r="11" spans="13:25" ht="15.95" customHeight="1">
      <c r="M11" s="194" t="s">
        <v>207</v>
      </c>
      <c r="N11" s="243"/>
      <c r="O11" s="195"/>
      <c r="P11" s="196"/>
      <c r="Q11" s="195"/>
      <c r="R11" s="195"/>
      <c r="S11" s="195"/>
      <c r="T11" s="195"/>
      <c r="U11" s="195"/>
      <c r="V11" s="195"/>
      <c r="W11" s="195"/>
      <c r="X11" s="195"/>
      <c r="Y11" s="194"/>
    </row>
    <row r="12" spans="13:25" ht="15.95" customHeight="1">
      <c r="M12" s="194" t="s">
        <v>208</v>
      </c>
      <c r="N12" s="243"/>
      <c r="O12" s="195"/>
      <c r="P12" s="196"/>
      <c r="Q12" s="196"/>
      <c r="R12" s="195"/>
      <c r="S12" s="195"/>
      <c r="T12" s="195"/>
      <c r="U12" s="195"/>
      <c r="V12" s="195"/>
      <c r="W12" s="195"/>
      <c r="X12" s="195"/>
      <c r="Y12" s="194"/>
    </row>
    <row r="13" spans="13:25" ht="15.95" customHeight="1">
      <c r="M13" s="194" t="s">
        <v>209</v>
      </c>
      <c r="N13" s="243"/>
      <c r="O13" s="195"/>
      <c r="P13" s="195"/>
      <c r="Q13" s="195"/>
      <c r="R13" s="196"/>
      <c r="S13" s="196"/>
      <c r="T13" s="196"/>
      <c r="U13" s="195"/>
      <c r="V13" s="196"/>
      <c r="W13" s="195"/>
      <c r="X13" s="195"/>
      <c r="Y13" s="194"/>
    </row>
    <row r="14" spans="13:25" ht="15.95" customHeight="1">
      <c r="M14" s="194" t="s">
        <v>30</v>
      </c>
      <c r="N14" s="243"/>
      <c r="O14" s="195"/>
      <c r="P14" s="195"/>
      <c r="Q14" s="196"/>
      <c r="R14" s="196"/>
      <c r="S14" s="196"/>
      <c r="T14" s="195"/>
      <c r="U14" s="196"/>
      <c r="V14" s="195"/>
      <c r="W14" s="195"/>
      <c r="X14" s="195"/>
      <c r="Y14" s="194"/>
    </row>
    <row r="15" spans="13:25" ht="15.95" customHeight="1">
      <c r="M15" s="194" t="s">
        <v>210</v>
      </c>
      <c r="N15" s="243"/>
      <c r="O15" s="195"/>
      <c r="P15" s="195"/>
      <c r="Q15" s="195"/>
      <c r="R15" s="196"/>
      <c r="S15" s="195"/>
      <c r="T15" s="196"/>
      <c r="U15" s="196"/>
      <c r="V15" s="196"/>
      <c r="W15" s="195"/>
      <c r="X15" s="195"/>
      <c r="Y15" s="194"/>
    </row>
    <row r="16" spans="13:25" ht="15.95" customHeight="1" thickBot="1">
      <c r="M16" s="161" t="s">
        <v>211</v>
      </c>
      <c r="N16" s="244"/>
      <c r="O16" s="198"/>
      <c r="P16" s="312"/>
      <c r="Q16" s="197"/>
      <c r="R16" s="197"/>
      <c r="S16" s="197"/>
      <c r="T16" s="197"/>
      <c r="U16" s="197"/>
      <c r="V16" s="197"/>
      <c r="W16" s="197"/>
      <c r="X16" s="197"/>
      <c r="Y16" s="161"/>
    </row>
    <row r="17" spans="2:28" ht="15.95" customHeight="1">
      <c r="L17" s="210"/>
      <c r="M17" s="10" t="s">
        <v>493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2:28" ht="12.95" customHeight="1">
      <c r="L18" s="210"/>
      <c r="M18" s="700" t="s">
        <v>161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2:28" ht="13.5" thickBot="1"/>
    <row r="20" spans="2:28" ht="15.95" customHeight="1" thickBot="1">
      <c r="B20" s="220" t="s">
        <v>156</v>
      </c>
      <c r="N20" s="187" t="s">
        <v>216</v>
      </c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9"/>
    </row>
    <row r="21" spans="2:28" ht="15.95" customHeight="1" thickBot="1">
      <c r="B21" s="211" t="str">
        <f t="shared" ref="B21:K21" si="0">N21</f>
        <v>Mar</v>
      </c>
      <c r="C21" s="211" t="str">
        <f t="shared" si="0"/>
        <v>Abr</v>
      </c>
      <c r="D21" s="211" t="str">
        <f t="shared" si="0"/>
        <v>May</v>
      </c>
      <c r="E21" s="211" t="str">
        <f t="shared" si="0"/>
        <v>Jun</v>
      </c>
      <c r="F21" s="211" t="str">
        <f t="shared" si="0"/>
        <v>Jul</v>
      </c>
      <c r="G21" s="211" t="str">
        <f t="shared" si="0"/>
        <v>Ago</v>
      </c>
      <c r="H21" s="211" t="str">
        <f t="shared" si="0"/>
        <v>Set</v>
      </c>
      <c r="I21" s="211" t="str">
        <f t="shared" si="0"/>
        <v>Oct</v>
      </c>
      <c r="J21" s="211" t="str">
        <f t="shared" si="0"/>
        <v>Nov</v>
      </c>
      <c r="K21" s="212" t="str">
        <f t="shared" si="0"/>
        <v>Dic</v>
      </c>
      <c r="M21" s="161" t="s">
        <v>153</v>
      </c>
      <c r="N21" s="245" t="str">
        <f>N$7</f>
        <v>Mar</v>
      </c>
      <c r="O21" s="206" t="str">
        <f t="shared" ref="O21:Y21" si="1">O$7</f>
        <v>Abr</v>
      </c>
      <c r="P21" s="206" t="str">
        <f t="shared" si="1"/>
        <v>May</v>
      </c>
      <c r="Q21" s="206" t="str">
        <f t="shared" si="1"/>
        <v>Jun</v>
      </c>
      <c r="R21" s="206" t="str">
        <f t="shared" si="1"/>
        <v>Jul</v>
      </c>
      <c r="S21" s="206" t="str">
        <f t="shared" si="1"/>
        <v>Ago</v>
      </c>
      <c r="T21" s="206" t="str">
        <f t="shared" si="1"/>
        <v>Set</v>
      </c>
      <c r="U21" s="206" t="str">
        <f t="shared" si="1"/>
        <v>Oct</v>
      </c>
      <c r="V21" s="206" t="str">
        <f t="shared" si="1"/>
        <v>Nov</v>
      </c>
      <c r="W21" s="206" t="str">
        <f t="shared" si="1"/>
        <v>Dic</v>
      </c>
      <c r="X21" s="206" t="str">
        <f t="shared" si="1"/>
        <v>Ene</v>
      </c>
      <c r="Y21" s="143" t="str">
        <f t="shared" si="1"/>
        <v>Feb</v>
      </c>
      <c r="AA21" s="296" t="s">
        <v>223</v>
      </c>
    </row>
    <row r="22" spans="2:28" ht="15.95" customHeight="1">
      <c r="B22" s="213">
        <f>FICHA!B7</f>
        <v>154.69999999999999</v>
      </c>
      <c r="C22" s="213">
        <f>FICHA!B8</f>
        <v>200.7</v>
      </c>
      <c r="D22" s="213"/>
      <c r="E22" s="213"/>
      <c r="F22" s="213"/>
      <c r="G22" s="213"/>
      <c r="H22" s="213"/>
      <c r="I22" s="213"/>
      <c r="J22" s="213"/>
      <c r="K22" s="214"/>
      <c r="M22" s="5" t="s">
        <v>205</v>
      </c>
      <c r="N22" s="246">
        <f>IF(B22=0,"",B22*FICHA!$F$7)</f>
        <v>251729.38699999999</v>
      </c>
      <c r="O22" s="207">
        <f>IF(C22=0,"",C22*FICHA!$F$7)</f>
        <v>326581.04699999996</v>
      </c>
      <c r="P22" s="207" t="str">
        <f>IF(D22=0,"",D22*FICHA!$F$7)</f>
        <v/>
      </c>
      <c r="Q22" s="207" t="str">
        <f>IF(E22=0,"",E22*FICHA!$F$7)</f>
        <v/>
      </c>
      <c r="R22" s="207" t="str">
        <f>IF(F22=0,"",F22*FICHA!$F$7)</f>
        <v/>
      </c>
      <c r="S22" s="207" t="str">
        <f>IF(G22=0,"",G22*FICHA!$F$7)</f>
        <v/>
      </c>
      <c r="T22" s="207" t="str">
        <f>IF(H22=0,"",H22*FICHA!$F$7)</f>
        <v/>
      </c>
      <c r="U22" s="207" t="str">
        <f>IF(I22=0,"",I22*FICHA!$F$7)</f>
        <v/>
      </c>
      <c r="V22" s="207" t="str">
        <f>IF(J22=0,"",J22*FICHA!$F$7)</f>
        <v/>
      </c>
      <c r="W22" s="207" t="str">
        <f>IF(K22=0,"",K22*FICHA!$F$7)</f>
        <v/>
      </c>
      <c r="X22" s="207"/>
      <c r="Y22" s="199"/>
      <c r="AA22" s="298">
        <f>SUM(N22:Y22)</f>
        <v>578310.43399999989</v>
      </c>
    </row>
    <row r="23" spans="2:28" ht="15.95" customHeight="1">
      <c r="B23" s="215"/>
      <c r="C23" s="215">
        <f>FICHA!B10*50%</f>
        <v>22</v>
      </c>
      <c r="D23" s="215">
        <f>C23</f>
        <v>22</v>
      </c>
      <c r="E23" s="215"/>
      <c r="F23" s="215"/>
      <c r="G23" s="215"/>
      <c r="H23" s="215"/>
      <c r="I23" s="215"/>
      <c r="J23" s="215"/>
      <c r="K23" s="216"/>
      <c r="M23" s="201" t="s">
        <v>206</v>
      </c>
      <c r="N23" s="202" t="str">
        <f>IF(B23=0,"",B23*FICHA!$F$7)</f>
        <v/>
      </c>
      <c r="O23" s="208">
        <f>IF(C23=0,"",C23*FICHA!$F$7)</f>
        <v>35798.620000000003</v>
      </c>
      <c r="P23" s="208">
        <f>IF(D23=0,"",D23*FICHA!$F$7)</f>
        <v>35798.620000000003</v>
      </c>
      <c r="Q23" s="208" t="str">
        <f>IF(E23=0,"",E23*FICHA!$F$7)</f>
        <v/>
      </c>
      <c r="R23" s="208" t="str">
        <f>IF(F23=0,"",F23*FICHA!$F$7)</f>
        <v/>
      </c>
      <c r="S23" s="208" t="str">
        <f>IF(G23=0,"",G23*FICHA!$F$7)</f>
        <v/>
      </c>
      <c r="T23" s="208" t="str">
        <f>IF(H23=0,"",H23*FICHA!$F$7)</f>
        <v/>
      </c>
      <c r="U23" s="208" t="str">
        <f>IF(I23=0,"",I23*FICHA!$F$7)</f>
        <v/>
      </c>
      <c r="V23" s="208" t="str">
        <f>IF(J23=0,"",J23*FICHA!$F$7)</f>
        <v/>
      </c>
      <c r="W23" s="208" t="str">
        <f>IF(K23=0,"",K23*FICHA!$F$7)</f>
        <v/>
      </c>
      <c r="X23" s="208"/>
      <c r="Y23" s="202"/>
      <c r="AA23" s="208">
        <f t="shared" ref="AA23:AA30" si="2">SUM(N23:Y23)</f>
        <v>71597.240000000005</v>
      </c>
    </row>
    <row r="24" spans="2:28" ht="15.95" customHeight="1">
      <c r="B24" s="215"/>
      <c r="C24" s="215">
        <f>FICHA!B13</f>
        <v>8.4</v>
      </c>
      <c r="D24" s="215"/>
      <c r="E24" s="215"/>
      <c r="F24" s="215"/>
      <c r="G24" s="215"/>
      <c r="H24" s="215"/>
      <c r="I24" s="215"/>
      <c r="J24" s="215"/>
      <c r="K24" s="216"/>
      <c r="M24" s="292" t="s">
        <v>255</v>
      </c>
      <c r="N24" s="246" t="str">
        <f>IF(B24=0,"",B24*FICHA!$F$7)</f>
        <v/>
      </c>
      <c r="O24" s="207">
        <f>IF(C24=0,"",C24*FICHA!$F$7)</f>
        <v>13668.564</v>
      </c>
      <c r="P24" s="207" t="str">
        <f>IF(D24=0,"",D24*FICHA!$F$7)</f>
        <v/>
      </c>
      <c r="Q24" s="207" t="str">
        <f>IF(E24=0,"",E24*FICHA!$F$7)</f>
        <v/>
      </c>
      <c r="R24" s="207" t="str">
        <f>IF(F24=0,"",F24*FICHA!$F$7)</f>
        <v/>
      </c>
      <c r="S24" s="207" t="str">
        <f>IF(G24=0,"",G24*FICHA!$F$7)</f>
        <v/>
      </c>
      <c r="T24" s="207" t="str">
        <f>IF(H24=0,"",H24*FICHA!$F$7)</f>
        <v/>
      </c>
      <c r="U24" s="207" t="str">
        <f>IF(I24=0,"",I24*FICHA!$F$7)</f>
        <v/>
      </c>
      <c r="V24" s="207" t="str">
        <f>IF(J24=0,"",J24*FICHA!$F$7)</f>
        <v/>
      </c>
      <c r="W24" s="207" t="str">
        <f>IF(K24=0,"",K24*FICHA!$F$7)</f>
        <v/>
      </c>
      <c r="X24" s="207"/>
      <c r="Y24" s="199"/>
      <c r="AA24" s="199">
        <f t="shared" si="2"/>
        <v>13668.564</v>
      </c>
    </row>
    <row r="25" spans="2:28" ht="15.95" customHeight="1">
      <c r="B25" s="215"/>
      <c r="C25" s="215"/>
      <c r="D25" s="215">
        <f>FICHA!B11</f>
        <v>9.4</v>
      </c>
      <c r="E25" s="215"/>
      <c r="F25" s="215"/>
      <c r="G25" s="215"/>
      <c r="H25" s="215"/>
      <c r="I25" s="215"/>
      <c r="J25" s="215"/>
      <c r="K25" s="216"/>
      <c r="M25" s="201" t="s">
        <v>207</v>
      </c>
      <c r="N25" s="202" t="str">
        <f>IF(B25=0,"",B25*FICHA!$F$7)</f>
        <v/>
      </c>
      <c r="O25" s="208" t="str">
        <f>IF(C25=0,"",C25*FICHA!$F$7)</f>
        <v/>
      </c>
      <c r="P25" s="208">
        <f>IF(D25=0,"",D25*FICHA!$F$7)</f>
        <v>15295.774000000001</v>
      </c>
      <c r="Q25" s="208" t="str">
        <f>IF(E25=0,"",E25*FICHA!$F$7)</f>
        <v/>
      </c>
      <c r="R25" s="208" t="str">
        <f>IF(F25=0,"",F25*FICHA!$F$7)</f>
        <v/>
      </c>
      <c r="S25" s="208" t="str">
        <f>IF(G25=0,"",G25*FICHA!$F$7)</f>
        <v/>
      </c>
      <c r="T25" s="208" t="str">
        <f>IF(H25=0,"",H25*FICHA!$F$7)</f>
        <v/>
      </c>
      <c r="U25" s="208" t="str">
        <f>IF(I25=0,"",I25*FICHA!$F$7)</f>
        <v/>
      </c>
      <c r="V25" s="208" t="str">
        <f>IF(J25=0,"",J25*FICHA!$F$7)</f>
        <v/>
      </c>
      <c r="W25" s="208" t="str">
        <f>IF(K25=0,"",K25*FICHA!$F$7)</f>
        <v/>
      </c>
      <c r="X25" s="208"/>
      <c r="Y25" s="202"/>
      <c r="AA25" s="208">
        <f t="shared" si="2"/>
        <v>15295.774000000001</v>
      </c>
    </row>
    <row r="26" spans="2:28" ht="15.95" customHeight="1">
      <c r="B26" s="215"/>
      <c r="C26" s="215"/>
      <c r="D26" s="215">
        <f>FICHA!B9*50%</f>
        <v>172.7</v>
      </c>
      <c r="E26" s="215">
        <f>D26</f>
        <v>172.7</v>
      </c>
      <c r="F26" s="215"/>
      <c r="G26" s="215"/>
      <c r="H26" s="215"/>
      <c r="I26" s="215"/>
      <c r="J26" s="215"/>
      <c r="K26" s="216"/>
      <c r="M26" s="292" t="s">
        <v>208</v>
      </c>
      <c r="N26" s="246" t="str">
        <f>IF(B26=0,"",B26*FICHA!$F$7)</f>
        <v/>
      </c>
      <c r="O26" s="207" t="str">
        <f>IF(C26=0,"",C26*FICHA!$F$7)</f>
        <v/>
      </c>
      <c r="P26" s="207">
        <f>IF(D26=0,"",D26*FICHA!$F$7)</f>
        <v>281019.16700000002</v>
      </c>
      <c r="Q26" s="207">
        <f>IF(E26=0,"",E26*FICHA!$F$7)</f>
        <v>281019.16700000002</v>
      </c>
      <c r="R26" s="207" t="str">
        <f>IF(F26=0,"",F26*FICHA!$F$7)</f>
        <v/>
      </c>
      <c r="S26" s="207" t="str">
        <f>IF(G26=0,"",G26*FICHA!$F$7)</f>
        <v/>
      </c>
      <c r="T26" s="207" t="str">
        <f>IF(H26=0,"",H26*FICHA!$F$7)</f>
        <v/>
      </c>
      <c r="U26" s="207" t="str">
        <f>IF(I26=0,"",I26*FICHA!$F$7)</f>
        <v/>
      </c>
      <c r="V26" s="207" t="str">
        <f>IF(J26=0,"",J26*FICHA!$F$7)</f>
        <v/>
      </c>
      <c r="W26" s="207" t="str">
        <f>IF(K26=0,"",K26*FICHA!$F$7)</f>
        <v/>
      </c>
      <c r="X26" s="207"/>
      <c r="Y26" s="199"/>
      <c r="AA26" s="199">
        <f t="shared" si="2"/>
        <v>562038.33400000003</v>
      </c>
    </row>
    <row r="27" spans="2:28" ht="15.95" customHeight="1">
      <c r="B27" s="215"/>
      <c r="C27" s="215"/>
      <c r="D27" s="215"/>
      <c r="E27" s="217"/>
      <c r="F27" s="215">
        <f>FICHA!B12*(FICHA!U19)/3</f>
        <v>5.2513888888888882</v>
      </c>
      <c r="G27" s="215">
        <f>F27</f>
        <v>5.2513888888888882</v>
      </c>
      <c r="H27" s="215">
        <f>G27</f>
        <v>5.2513888888888882</v>
      </c>
      <c r="I27" s="215"/>
      <c r="J27" s="215">
        <f>FICHA!B12*FICHA!U20</f>
        <v>4.1458333333333339</v>
      </c>
      <c r="K27" s="216"/>
      <c r="M27" s="201" t="s">
        <v>209</v>
      </c>
      <c r="N27" s="202" t="str">
        <f>IF(B27=0,"",B27*FICHA!$F$7)</f>
        <v/>
      </c>
      <c r="O27" s="208" t="str">
        <f>IF(C27=0,"",C27*FICHA!$F$7)</f>
        <v/>
      </c>
      <c r="P27" s="208" t="str">
        <f>IF(D27=0,"",D27*FICHA!$F$7)</f>
        <v/>
      </c>
      <c r="Q27" s="208" t="str">
        <f>IF(E27=0,"",E27*FICHA!$F$7)</f>
        <v/>
      </c>
      <c r="R27" s="208">
        <f>IF(F27=0,"",F27*FICHA!$F$7)</f>
        <v>8545.1125138888874</v>
      </c>
      <c r="S27" s="208">
        <f>IF(G27=0,"",G27*FICHA!$F$7)</f>
        <v>8545.1125138888874</v>
      </c>
      <c r="T27" s="208">
        <f>IF(H27=0,"",H27*FICHA!$F$7)</f>
        <v>8545.1125138888874</v>
      </c>
      <c r="U27" s="208" t="str">
        <f>IF(I27=0,"",I27*FICHA!$F$7)</f>
        <v/>
      </c>
      <c r="V27" s="208">
        <f>IF(J27=0,"",J27*FICHA!$F$7)</f>
        <v>6746.1414583333344</v>
      </c>
      <c r="W27" s="208" t="str">
        <f>IF(K27=0,"",K27*FICHA!$F$7)</f>
        <v/>
      </c>
      <c r="X27" s="208"/>
      <c r="Y27" s="202"/>
      <c r="AA27" s="208">
        <f t="shared" si="2"/>
        <v>32381.478999999996</v>
      </c>
    </row>
    <row r="28" spans="2:28" ht="15.95" customHeight="1">
      <c r="B28" s="215"/>
      <c r="C28" s="215"/>
      <c r="D28" s="215"/>
      <c r="E28" s="215"/>
      <c r="F28" s="215">
        <f>FICHA!B14*25%</f>
        <v>5.75</v>
      </c>
      <c r="G28" s="215">
        <f>F28</f>
        <v>5.75</v>
      </c>
      <c r="H28" s="215">
        <f>G28</f>
        <v>5.75</v>
      </c>
      <c r="I28" s="215">
        <f>H28</f>
        <v>5.75</v>
      </c>
      <c r="J28" s="215"/>
      <c r="K28" s="216"/>
      <c r="M28" s="292" t="s">
        <v>30</v>
      </c>
      <c r="N28" s="246" t="str">
        <f>IF(B28=0,"",B28*FICHA!$F$7)</f>
        <v/>
      </c>
      <c r="O28" s="207" t="str">
        <f>IF(C28=0,"",C28*FICHA!$F$7)</f>
        <v/>
      </c>
      <c r="P28" s="207" t="str">
        <f>IF(D28=0,"",D28*FICHA!$F$7)</f>
        <v/>
      </c>
      <c r="Q28" s="207">
        <f>'R-2'!D52/3/2</f>
        <v>6237.6383333333333</v>
      </c>
      <c r="R28" s="207">
        <f>Q28</f>
        <v>6237.6383333333333</v>
      </c>
      <c r="S28" s="207">
        <f>'R-2'!D52/3</f>
        <v>12475.276666666667</v>
      </c>
      <c r="T28" s="207">
        <f>S28</f>
        <v>12475.276666666667</v>
      </c>
      <c r="U28" s="207"/>
      <c r="V28" s="207" t="str">
        <f>IF(J28=0,"",J28*FICHA!$F$7)</f>
        <v/>
      </c>
      <c r="W28" s="207" t="str">
        <f>IF(K28=0,"",K28*FICHA!$F$7)</f>
        <v/>
      </c>
      <c r="X28" s="207"/>
      <c r="Y28" s="199"/>
      <c r="AA28" s="199">
        <f t="shared" si="2"/>
        <v>37425.83</v>
      </c>
    </row>
    <row r="29" spans="2:28" ht="15.95" customHeight="1">
      <c r="B29" s="215"/>
      <c r="C29" s="215"/>
      <c r="D29" s="215"/>
      <c r="E29" s="215"/>
      <c r="F29" s="215"/>
      <c r="G29" s="215">
        <f>FICHA!B16*50%</f>
        <v>37.6</v>
      </c>
      <c r="H29" s="215"/>
      <c r="I29" s="215">
        <f>G29</f>
        <v>37.6</v>
      </c>
      <c r="J29" s="215"/>
      <c r="K29" s="216"/>
      <c r="M29" s="201" t="s">
        <v>210</v>
      </c>
      <c r="N29" s="202" t="str">
        <f>IF(B29=0,"",B29*FICHA!$F$7)</f>
        <v/>
      </c>
      <c r="O29" s="208" t="str">
        <f>IF(C29=0,"",C29*FICHA!$F$7)</f>
        <v/>
      </c>
      <c r="P29" s="208" t="str">
        <f>IF(D29=0,"",D29*FICHA!$F$7)</f>
        <v/>
      </c>
      <c r="Q29" s="208" t="str">
        <f>IF(E29=0,"",E29*FICHA!$F$7)</f>
        <v/>
      </c>
      <c r="R29" s="208">
        <f>'R-2'!D53/3</f>
        <v>40788.73066666667</v>
      </c>
      <c r="S29" s="208"/>
      <c r="T29" s="208">
        <f>R29</f>
        <v>40788.73066666667</v>
      </c>
      <c r="U29" s="208">
        <f>R29/2</f>
        <v>20394.365333333335</v>
      </c>
      <c r="V29" s="208">
        <f>U29</f>
        <v>20394.365333333335</v>
      </c>
      <c r="W29" s="208" t="str">
        <f>IF(K29=0,"",K29*FICHA!$F$7)</f>
        <v/>
      </c>
      <c r="X29" s="208"/>
      <c r="Y29" s="202"/>
      <c r="AA29" s="208">
        <f t="shared" si="2"/>
        <v>122366.19200000001</v>
      </c>
    </row>
    <row r="30" spans="2:28" ht="15.95" customHeight="1" thickBot="1">
      <c r="B30" s="218"/>
      <c r="C30" s="218">
        <f>FICHA!B17/3</f>
        <v>4.6333333333333337</v>
      </c>
      <c r="D30" s="218"/>
      <c r="E30" s="218"/>
      <c r="F30" s="218">
        <f>C30</f>
        <v>4.6333333333333337</v>
      </c>
      <c r="G30" s="218"/>
      <c r="H30" s="218">
        <f>F30</f>
        <v>4.6333333333333337</v>
      </c>
      <c r="I30" s="218"/>
      <c r="J30" s="218"/>
      <c r="K30" s="219"/>
      <c r="M30" s="292" t="s">
        <v>211</v>
      </c>
      <c r="N30" s="246" t="str">
        <f>IF(B30=0,"",B30*FICHA!$F$7)</f>
        <v/>
      </c>
      <c r="O30" s="207">
        <f>'R-2'!D54/2</f>
        <v>11309.1095</v>
      </c>
      <c r="P30" s="207">
        <f>O30</f>
        <v>11309.1095</v>
      </c>
      <c r="Q30" s="207" t="str">
        <f>IF(E30=0,"",E30*FICHA!$F$7)</f>
        <v/>
      </c>
      <c r="R30" s="207"/>
      <c r="S30" s="207"/>
      <c r="T30" s="207"/>
      <c r="U30" s="207" t="str">
        <f>IF(I30=0,"",I30*FICHA!$F$7)</f>
        <v/>
      </c>
      <c r="V30" s="207" t="str">
        <f>IF(J30=0,"",J30*FICHA!$F$7)</f>
        <v/>
      </c>
      <c r="W30" s="207" t="str">
        <f>IF(K30=0,"",K30*FICHA!$F$7)</f>
        <v/>
      </c>
      <c r="X30" s="207"/>
      <c r="Y30" s="199"/>
      <c r="AA30" s="299">
        <f t="shared" si="2"/>
        <v>22618.219000000001</v>
      </c>
    </row>
    <row r="31" spans="2:28" ht="15.95" customHeight="1" thickBot="1">
      <c r="M31" s="204" t="s">
        <v>213</v>
      </c>
      <c r="N31" s="247">
        <f t="shared" ref="N31:Y31" si="3">SUM(N22:N30)</f>
        <v>251729.38699999999</v>
      </c>
      <c r="O31" s="209">
        <f t="shared" si="3"/>
        <v>387357.34049999999</v>
      </c>
      <c r="P31" s="209">
        <f t="shared" si="3"/>
        <v>343422.67050000001</v>
      </c>
      <c r="Q31" s="209">
        <f t="shared" si="3"/>
        <v>287256.80533333332</v>
      </c>
      <c r="R31" s="209">
        <f t="shared" si="3"/>
        <v>55571.481513888895</v>
      </c>
      <c r="S31" s="209">
        <f t="shared" si="3"/>
        <v>21020.389180555554</v>
      </c>
      <c r="T31" s="209">
        <f t="shared" si="3"/>
        <v>61809.119847222224</v>
      </c>
      <c r="U31" s="209">
        <f t="shared" si="3"/>
        <v>20394.365333333335</v>
      </c>
      <c r="V31" s="209">
        <f t="shared" si="3"/>
        <v>27140.50679166667</v>
      </c>
      <c r="W31" s="209">
        <f t="shared" si="3"/>
        <v>0</v>
      </c>
      <c r="X31" s="209">
        <f t="shared" si="3"/>
        <v>0</v>
      </c>
      <c r="Y31" s="205">
        <f t="shared" si="3"/>
        <v>0</v>
      </c>
      <c r="Z31" s="210"/>
      <c r="AA31" s="297">
        <f>SUM(AA22:AA30)</f>
        <v>1455702.0660000001</v>
      </c>
      <c r="AB31" s="159" t="str">
        <f>IF(AA31=Estructuras!H10,"ok","NO")</f>
        <v>ok</v>
      </c>
    </row>
    <row r="32" spans="2:28" ht="15.95" customHeight="1" thickBot="1">
      <c r="L32" s="210"/>
      <c r="M32" s="300" t="s">
        <v>256</v>
      </c>
      <c r="N32" s="301">
        <f>N31*FICHA!$F$8</f>
        <v>113429.26178219999</v>
      </c>
      <c r="O32" s="301">
        <f>O31*FICHA!$F$8</f>
        <v>174543.21762929999</v>
      </c>
      <c r="P32" s="301">
        <f>P31*FICHA!$F$8</f>
        <v>154746.25532729999</v>
      </c>
      <c r="Q32" s="301">
        <f>Q31*FICHA!$F$8</f>
        <v>129437.9164832</v>
      </c>
      <c r="R32" s="301">
        <f>R31*FICHA!$F$8</f>
        <v>25040.509570158338</v>
      </c>
      <c r="S32" s="301">
        <f>S31*FICHA!$F$8</f>
        <v>9471.7873647583328</v>
      </c>
      <c r="T32" s="301">
        <f>T31*FICHA!$F$8</f>
        <v>27851.189403158332</v>
      </c>
      <c r="U32" s="301">
        <f>U31*FICHA!$F$8</f>
        <v>9189.7010192000016</v>
      </c>
      <c r="V32" s="301">
        <f>V31*FICHA!$F$8</f>
        <v>12229.512360325001</v>
      </c>
      <c r="W32" s="301">
        <f>W31*FICHA!$F$8</f>
        <v>0</v>
      </c>
      <c r="X32" s="301">
        <f>X31*FICHA!$F$8</f>
        <v>0</v>
      </c>
      <c r="Y32" s="302">
        <f>Y31*FICHA!$F$8</f>
        <v>0</v>
      </c>
      <c r="AA32" s="199">
        <f>SUM(N32:Y32)</f>
        <v>655939.35093960003</v>
      </c>
    </row>
    <row r="33" spans="2:28" ht="15.95" customHeight="1" thickBot="1">
      <c r="L33" s="210"/>
      <c r="M33" s="204" t="s">
        <v>257</v>
      </c>
      <c r="N33" s="247">
        <f>SUM(N31:N32)</f>
        <v>365158.64878219995</v>
      </c>
      <c r="O33" s="209">
        <f t="shared" ref="O33:Y33" si="4">SUM(O31:O32)</f>
        <v>561900.55812930001</v>
      </c>
      <c r="P33" s="209">
        <f t="shared" si="4"/>
        <v>498168.9258273</v>
      </c>
      <c r="Q33" s="209">
        <f t="shared" si="4"/>
        <v>416694.7218165333</v>
      </c>
      <c r="R33" s="209">
        <f t="shared" si="4"/>
        <v>80611.991084047229</v>
      </c>
      <c r="S33" s="209">
        <f t="shared" si="4"/>
        <v>30492.176545313887</v>
      </c>
      <c r="T33" s="209">
        <f t="shared" si="4"/>
        <v>89660.309250380553</v>
      </c>
      <c r="U33" s="209">
        <f t="shared" si="4"/>
        <v>29584.066352533337</v>
      </c>
      <c r="V33" s="209">
        <f t="shared" si="4"/>
        <v>39370.01915199167</v>
      </c>
      <c r="W33" s="209">
        <f t="shared" si="4"/>
        <v>0</v>
      </c>
      <c r="X33" s="209">
        <f t="shared" si="4"/>
        <v>0</v>
      </c>
      <c r="Y33" s="205">
        <f t="shared" si="4"/>
        <v>0</v>
      </c>
      <c r="Z33" s="210"/>
      <c r="AA33" s="297">
        <f>SUM(AA31:AA32)</f>
        <v>2111641.4169396004</v>
      </c>
      <c r="AB33" s="159" t="str">
        <f>IF(AA33=Estructuras!H9,"ok","NO")</f>
        <v>ok</v>
      </c>
    </row>
    <row r="34" spans="2:28" ht="15.95" customHeight="1" thickBot="1"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</row>
    <row r="35" spans="2:28" ht="15.95" customHeight="1" thickBot="1">
      <c r="B35" s="220" t="s">
        <v>214</v>
      </c>
      <c r="N35" s="187" t="s">
        <v>217</v>
      </c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9"/>
    </row>
    <row r="36" spans="2:28" ht="15.95" customHeight="1" thickBot="1">
      <c r="B36" s="211" t="str">
        <f t="shared" ref="B36:K36" si="5">N36</f>
        <v>Mar</v>
      </c>
      <c r="C36" s="211" t="str">
        <f t="shared" si="5"/>
        <v>Abr</v>
      </c>
      <c r="D36" s="211" t="str">
        <f t="shared" si="5"/>
        <v>May</v>
      </c>
      <c r="E36" s="211" t="str">
        <f t="shared" si="5"/>
        <v>Jun</v>
      </c>
      <c r="F36" s="211" t="str">
        <f t="shared" si="5"/>
        <v>Jul</v>
      </c>
      <c r="G36" s="211" t="str">
        <f t="shared" si="5"/>
        <v>Ago</v>
      </c>
      <c r="H36" s="211" t="str">
        <f t="shared" si="5"/>
        <v>Set</v>
      </c>
      <c r="I36" s="211" t="str">
        <f t="shared" si="5"/>
        <v>Oct</v>
      </c>
      <c r="J36" s="211" t="str">
        <f t="shared" si="5"/>
        <v>Nov</v>
      </c>
      <c r="K36" s="212" t="str">
        <f t="shared" si="5"/>
        <v>Dic</v>
      </c>
      <c r="M36" s="161" t="s">
        <v>153</v>
      </c>
      <c r="N36" s="245" t="str">
        <f t="shared" ref="N36:Y36" si="6">N$7</f>
        <v>Mar</v>
      </c>
      <c r="O36" s="206" t="str">
        <f t="shared" si="6"/>
        <v>Abr</v>
      </c>
      <c r="P36" s="206" t="str">
        <f t="shared" si="6"/>
        <v>May</v>
      </c>
      <c r="Q36" s="206" t="str">
        <f t="shared" si="6"/>
        <v>Jun</v>
      </c>
      <c r="R36" s="206" t="str">
        <f t="shared" si="6"/>
        <v>Jul</v>
      </c>
      <c r="S36" s="206" t="str">
        <f t="shared" si="6"/>
        <v>Ago</v>
      </c>
      <c r="T36" s="206" t="str">
        <f t="shared" si="6"/>
        <v>Set</v>
      </c>
      <c r="U36" s="206" t="str">
        <f t="shared" si="6"/>
        <v>Oct</v>
      </c>
      <c r="V36" s="206" t="str">
        <f t="shared" si="6"/>
        <v>Nov</v>
      </c>
      <c r="W36" s="206" t="str">
        <f t="shared" si="6"/>
        <v>Dic</v>
      </c>
      <c r="X36" s="206" t="str">
        <f t="shared" si="6"/>
        <v>Ene</v>
      </c>
      <c r="Y36" s="143" t="str">
        <f t="shared" si="6"/>
        <v>Feb</v>
      </c>
      <c r="AA36" s="296" t="s">
        <v>223</v>
      </c>
    </row>
    <row r="37" spans="2:28" ht="15.95" customHeight="1">
      <c r="B37" s="228">
        <v>0</v>
      </c>
      <c r="C37" s="228">
        <f>FICHA!F15</f>
        <v>41.7</v>
      </c>
      <c r="D37" s="228"/>
      <c r="E37" s="228"/>
      <c r="F37" s="228"/>
      <c r="G37" s="228"/>
      <c r="H37" s="228"/>
      <c r="I37" s="228"/>
      <c r="J37" s="228"/>
      <c r="K37" s="229"/>
      <c r="M37" s="5" t="s">
        <v>205</v>
      </c>
      <c r="N37" s="246" t="str">
        <f>IF(B37=0,"",B37*Estructuras!$E$16)</f>
        <v/>
      </c>
      <c r="O37" s="207">
        <f>IF(C37=0,"",C37*Estructuras!$E$16)</f>
        <v>100900.23900000002</v>
      </c>
      <c r="P37" s="207" t="str">
        <f>IF(D37=0,"",D37*Estructuras!$E$16)</f>
        <v/>
      </c>
      <c r="Q37" s="207" t="str">
        <f>IF(E37=0,"",E37*Estructuras!$E$16)</f>
        <v/>
      </c>
      <c r="R37" s="207" t="str">
        <f>IF(F37=0,"",F37*Estructuras!$E$16)</f>
        <v/>
      </c>
      <c r="S37" s="207" t="str">
        <f>IF(G37=0,"",G37*Estructuras!$E$16)</f>
        <v/>
      </c>
      <c r="T37" s="207" t="str">
        <f>IF(H37=0,"",H37*Estructuras!$E$16)</f>
        <v/>
      </c>
      <c r="U37" s="207" t="str">
        <f>IF(I37=0,"",I37*Estructuras!$E$16)</f>
        <v/>
      </c>
      <c r="V37" s="207" t="str">
        <f>IF(J37=0,"",J37*Estructuras!$E$16)</f>
        <v/>
      </c>
      <c r="W37" s="207" t="str">
        <f>IF(K37=0,"",K37*Estructuras!$E$16)</f>
        <v/>
      </c>
      <c r="X37" s="207"/>
      <c r="Y37" s="199"/>
      <c r="AA37" s="298">
        <f>SUM(N37:Y37)</f>
        <v>100900.23900000002</v>
      </c>
    </row>
    <row r="38" spans="2:28" ht="15.95" customHeight="1">
      <c r="B38" s="230"/>
      <c r="C38" s="230">
        <f>Estructuras!C15/2</f>
        <v>112</v>
      </c>
      <c r="D38" s="230">
        <f>C38</f>
        <v>112</v>
      </c>
      <c r="E38" s="230"/>
      <c r="F38" s="230"/>
      <c r="G38" s="230"/>
      <c r="H38" s="230"/>
      <c r="I38" s="230"/>
      <c r="J38" s="230"/>
      <c r="K38" s="231"/>
      <c r="M38" s="201" t="s">
        <v>206</v>
      </c>
      <c r="N38" s="202" t="str">
        <f>IF(B38=0,"",B38*Estructuras!$E$15)</f>
        <v/>
      </c>
      <c r="O38" s="208">
        <f>IF(C38=0,"",C38*Estructuras!$E$15)</f>
        <v>33195.556799999998</v>
      </c>
      <c r="P38" s="208">
        <f>IF(D38=0,"",D38*Estructuras!$E$15)</f>
        <v>33195.556799999998</v>
      </c>
      <c r="Q38" s="208" t="str">
        <f>IF(E38=0,"",E38*Estructuras!$E$15)</f>
        <v/>
      </c>
      <c r="R38" s="208" t="str">
        <f>IF(F38=0,"",F38*Estructuras!$E$15)</f>
        <v/>
      </c>
      <c r="S38" s="208" t="str">
        <f>IF(G38=0,"",G38*Estructuras!$E$15)</f>
        <v/>
      </c>
      <c r="T38" s="208" t="str">
        <f>IF(H38=0,"",H38*Estructuras!$E$15)</f>
        <v/>
      </c>
      <c r="U38" s="208" t="str">
        <f>IF(I38=0,"",I38*Estructuras!$E$15)</f>
        <v/>
      </c>
      <c r="V38" s="208" t="str">
        <f>IF(J38=0,"",J38*Estructuras!$E$15)</f>
        <v/>
      </c>
      <c r="W38" s="208" t="str">
        <f>IF(K38=0,"",K38*Estructuras!$E$15)</f>
        <v/>
      </c>
      <c r="X38" s="208"/>
      <c r="Y38" s="202"/>
      <c r="AA38" s="208">
        <f t="shared" ref="AA38:AA45" si="7">SUM(N38:Y38)</f>
        <v>66391.113599999997</v>
      </c>
    </row>
    <row r="39" spans="2:28" ht="15.95" customHeight="1">
      <c r="B39" s="230"/>
      <c r="C39" s="230">
        <f>FICHA!F21/2</f>
        <v>250</v>
      </c>
      <c r="D39" s="230">
        <f>C39</f>
        <v>250</v>
      </c>
      <c r="E39" s="230"/>
      <c r="F39" s="230"/>
      <c r="G39" s="230"/>
      <c r="H39" s="230"/>
      <c r="I39" s="230"/>
      <c r="J39" s="230"/>
      <c r="K39" s="231"/>
      <c r="M39" s="292" t="s">
        <v>255</v>
      </c>
      <c r="N39" s="246" t="str">
        <f>IF(B39=0,"",B39*Estructuras!$E$20)</f>
        <v/>
      </c>
      <c r="O39" s="207">
        <f>IF(C39=0,"",C39*Estructuras!$E$20)</f>
        <v>21034.166666666668</v>
      </c>
      <c r="P39" s="207">
        <f>IF(D39=0,"",D39*Estructuras!$E$20)</f>
        <v>21034.166666666668</v>
      </c>
      <c r="Q39" s="207" t="str">
        <f>IF(E39=0,"",E39*Estructuras!$E$20)</f>
        <v/>
      </c>
      <c r="R39" s="207" t="str">
        <f>IF(F39=0,"",F39*Estructuras!$E$20)</f>
        <v/>
      </c>
      <c r="S39" s="207" t="str">
        <f>IF(G39=0,"",G39*Estructuras!$E$20)</f>
        <v/>
      </c>
      <c r="T39" s="207" t="str">
        <f>IF(H39=0,"",H39*Estructuras!$E$20)</f>
        <v/>
      </c>
      <c r="U39" s="207" t="str">
        <f>IF(I39=0,"",I39*Estructuras!$E$20)</f>
        <v/>
      </c>
      <c r="V39" s="207" t="str">
        <f>IF(J39=0,"",J39*Estructuras!$E$20)</f>
        <v/>
      </c>
      <c r="W39" s="207" t="str">
        <f>IF(K39=0,"",K39*Estructuras!$E$20)</f>
        <v/>
      </c>
      <c r="X39" s="207"/>
      <c r="Y39" s="199"/>
      <c r="AA39" s="199">
        <f t="shared" si="7"/>
        <v>42068.333333333336</v>
      </c>
    </row>
    <row r="40" spans="2:28" ht="15.95" customHeight="1">
      <c r="B40" s="230"/>
      <c r="C40" s="230"/>
      <c r="D40" s="230">
        <v>0</v>
      </c>
      <c r="E40" s="230"/>
      <c r="F40" s="230"/>
      <c r="G40" s="230"/>
      <c r="H40" s="230"/>
      <c r="I40" s="230"/>
      <c r="J40" s="230"/>
      <c r="K40" s="231"/>
      <c r="M40" s="201" t="s">
        <v>207</v>
      </c>
      <c r="N40" s="202" t="str">
        <f t="shared" ref="N40:W40" si="8">IF(B40=0,"",B40*0)</f>
        <v/>
      </c>
      <c r="O40" s="208" t="str">
        <f t="shared" si="8"/>
        <v/>
      </c>
      <c r="P40" s="208">
        <f>SUM(D40)</f>
        <v>0</v>
      </c>
      <c r="Q40" s="208" t="str">
        <f t="shared" si="8"/>
        <v/>
      </c>
      <c r="R40" s="208" t="str">
        <f t="shared" si="8"/>
        <v/>
      </c>
      <c r="S40" s="208" t="str">
        <f t="shared" si="8"/>
        <v/>
      </c>
      <c r="T40" s="208" t="str">
        <f t="shared" si="8"/>
        <v/>
      </c>
      <c r="U40" s="208" t="str">
        <f t="shared" si="8"/>
        <v/>
      </c>
      <c r="V40" s="208" t="str">
        <f t="shared" si="8"/>
        <v/>
      </c>
      <c r="W40" s="208" t="str">
        <f t="shared" si="8"/>
        <v/>
      </c>
      <c r="X40" s="208"/>
      <c r="Y40" s="202"/>
      <c r="AA40" s="208">
        <f t="shared" si="7"/>
        <v>0</v>
      </c>
    </row>
    <row r="41" spans="2:28" ht="15.95" customHeight="1">
      <c r="B41" s="215"/>
      <c r="C41" s="215"/>
      <c r="D41" s="222">
        <f>FICHA!F11*50%</f>
        <v>2500</v>
      </c>
      <c r="E41" s="222">
        <f>D41</f>
        <v>2500</v>
      </c>
      <c r="F41" s="215"/>
      <c r="G41" s="215"/>
      <c r="H41" s="215"/>
      <c r="I41" s="215"/>
      <c r="J41" s="215"/>
      <c r="K41" s="216"/>
      <c r="M41" s="292" t="s">
        <v>208</v>
      </c>
      <c r="N41" s="246" t="str">
        <f>IF(B41=0,"",B41*FICHA!$F$12)</f>
        <v/>
      </c>
      <c r="O41" s="207" t="str">
        <f>IF(C41=0,"",C41*FICHA!$F$12)</f>
        <v/>
      </c>
      <c r="P41" s="207">
        <f>IF(D41=0,"",D41*FICHA!$F$12)</f>
        <v>737446.25</v>
      </c>
      <c r="Q41" s="207">
        <f>IF(E41=0,"",E41*FICHA!$F$12)</f>
        <v>737446.25</v>
      </c>
      <c r="R41" s="207" t="str">
        <f>IF(F41=0,"",F41*FICHA!$F$12)</f>
        <v/>
      </c>
      <c r="S41" s="207" t="str">
        <f>IF(G41=0,"",G41*FICHA!$F$12)</f>
        <v/>
      </c>
      <c r="T41" s="207" t="str">
        <f>IF(H41=0,"",H41*FICHA!$F$12)</f>
        <v/>
      </c>
      <c r="U41" s="207" t="str">
        <f>IF(I41=0,"",I41*FICHA!$F$12)</f>
        <v/>
      </c>
      <c r="V41" s="207" t="str">
        <f>IF(J41=0,"",J41*FICHA!$F$12)</f>
        <v/>
      </c>
      <c r="W41" s="207" t="str">
        <f>IF(K41=0,"",K41*FICHA!$F$12)</f>
        <v/>
      </c>
      <c r="X41" s="207"/>
      <c r="Y41" s="199"/>
      <c r="AA41" s="199">
        <f t="shared" si="7"/>
        <v>1474892.5</v>
      </c>
    </row>
    <row r="42" spans="2:28" ht="15.95" customHeight="1">
      <c r="B42" s="230"/>
      <c r="C42" s="230"/>
      <c r="D42" s="295">
        <f>FICHA!F18*50%</f>
        <v>137.5</v>
      </c>
      <c r="E42" s="295">
        <f>D42</f>
        <v>137.5</v>
      </c>
      <c r="F42" s="293">
        <f>FICHA!F19/3</f>
        <v>158.33333333333334</v>
      </c>
      <c r="G42" s="293">
        <f>F42</f>
        <v>158.33333333333334</v>
      </c>
      <c r="H42" s="293">
        <f>G42</f>
        <v>158.33333333333334</v>
      </c>
      <c r="I42" s="230"/>
      <c r="J42" s="294">
        <f>FICHA!F20</f>
        <v>125</v>
      </c>
      <c r="K42" s="231"/>
      <c r="M42" s="201" t="s">
        <v>209</v>
      </c>
      <c r="N42" s="202" t="str">
        <f>IF(B42=0,"",B42*Estructuras!$E$17)</f>
        <v/>
      </c>
      <c r="O42" s="208" t="str">
        <f>IF(C42=0,"",C42*Estructuras!$E$17)</f>
        <v/>
      </c>
      <c r="P42" s="208">
        <f>IF(D42=0,"",D42*Estructuras!$E$17)</f>
        <v>67334.850000000006</v>
      </c>
      <c r="Q42" s="208">
        <f>IF(E42=0,"",E42*Estructuras!$E$17)</f>
        <v>67334.850000000006</v>
      </c>
      <c r="R42" s="208">
        <f>IF(F42=0,"",F42*Estructuras!E18)</f>
        <v>60091.47592592593</v>
      </c>
      <c r="S42" s="208">
        <f>R42</f>
        <v>60091.47592592593</v>
      </c>
      <c r="T42" s="208">
        <f>S42</f>
        <v>60091.47592592593</v>
      </c>
      <c r="U42" s="208"/>
      <c r="V42" s="208">
        <f>IF(J42=0,"",J42*Estructuras!E19)</f>
        <v>39096.277777777781</v>
      </c>
      <c r="W42" s="208"/>
      <c r="X42" s="208"/>
      <c r="Y42" s="202"/>
      <c r="AA42" s="208">
        <f t="shared" si="7"/>
        <v>354040.4055555556</v>
      </c>
    </row>
    <row r="43" spans="2:28" ht="15.95" customHeight="1">
      <c r="B43" s="230"/>
      <c r="C43" s="230"/>
      <c r="D43" s="230"/>
      <c r="E43" s="230"/>
      <c r="F43" s="230">
        <f>SUM(FICHA!J16:J20)*40%/2</f>
        <v>0.90600000000000014</v>
      </c>
      <c r="G43" s="230">
        <f>F43</f>
        <v>0.90600000000000014</v>
      </c>
      <c r="H43" s="230">
        <f>SUM(FICHA!J16:J20)*60%/2</f>
        <v>1.359</v>
      </c>
      <c r="I43" s="230">
        <f>H43</f>
        <v>1.359</v>
      </c>
      <c r="J43" s="230"/>
      <c r="K43" s="231"/>
      <c r="M43" s="292" t="s">
        <v>30</v>
      </c>
      <c r="N43" s="246"/>
      <c r="O43" s="207"/>
      <c r="P43" s="207"/>
      <c r="Q43" s="207">
        <f ca="1">'R-2'!E52/3/2</f>
        <v>18670.342649999999</v>
      </c>
      <c r="R43" s="207">
        <f ca="1">Q43</f>
        <v>18670.342649999999</v>
      </c>
      <c r="S43" s="207">
        <f ca="1">'R-2'!E52/3</f>
        <v>37340.685299999997</v>
      </c>
      <c r="T43" s="207">
        <f ca="1">S43</f>
        <v>37340.685299999997</v>
      </c>
      <c r="U43" s="207"/>
      <c r="V43" s="207"/>
      <c r="W43" s="207"/>
      <c r="X43" s="207"/>
      <c r="Y43" s="199"/>
      <c r="AA43" s="199">
        <f t="shared" ca="1" si="7"/>
        <v>112022.05589999999</v>
      </c>
    </row>
    <row r="44" spans="2:28" ht="15.95" customHeight="1">
      <c r="B44" s="230"/>
      <c r="C44" s="230"/>
      <c r="D44" s="230"/>
      <c r="E44" s="230"/>
      <c r="F44" s="230"/>
      <c r="G44" s="230">
        <v>0</v>
      </c>
      <c r="H44" s="230"/>
      <c r="I44" s="230">
        <v>0</v>
      </c>
      <c r="J44" s="230"/>
      <c r="K44" s="231"/>
      <c r="M44" s="201" t="s">
        <v>210</v>
      </c>
      <c r="N44" s="202" t="str">
        <f t="shared" ref="N44:W44" si="9">IF(B44=0,"",B44*0)</f>
        <v/>
      </c>
      <c r="O44" s="208" t="str">
        <f t="shared" si="9"/>
        <v/>
      </c>
      <c r="P44" s="208" t="str">
        <f t="shared" si="9"/>
        <v/>
      </c>
      <c r="Q44" s="208" t="str">
        <f t="shared" si="9"/>
        <v/>
      </c>
      <c r="R44" s="208">
        <f>SUM('R-2'!$E$53)/3</f>
        <v>0</v>
      </c>
      <c r="S44" s="208" t="str">
        <f t="shared" si="9"/>
        <v/>
      </c>
      <c r="T44" s="208">
        <f>R44</f>
        <v>0</v>
      </c>
      <c r="U44" s="208">
        <f>T44/2</f>
        <v>0</v>
      </c>
      <c r="V44" s="208">
        <f>U44</f>
        <v>0</v>
      </c>
      <c r="W44" s="208" t="str">
        <f t="shared" si="9"/>
        <v/>
      </c>
      <c r="X44" s="208"/>
      <c r="Y44" s="202"/>
      <c r="AA44" s="208">
        <f t="shared" si="7"/>
        <v>0</v>
      </c>
    </row>
    <row r="45" spans="2:28" ht="15.95" customHeight="1" thickBot="1">
      <c r="B45" s="232"/>
      <c r="C45" s="232">
        <f>FICHA!J23/3</f>
        <v>0.66666666666666663</v>
      </c>
      <c r="D45" s="232"/>
      <c r="E45" s="232"/>
      <c r="F45" s="232">
        <f>C45</f>
        <v>0.66666666666666663</v>
      </c>
      <c r="G45" s="232"/>
      <c r="H45" s="232">
        <f>F45</f>
        <v>0.66666666666666663</v>
      </c>
      <c r="I45" s="232"/>
      <c r="J45" s="232"/>
      <c r="K45" s="233"/>
      <c r="M45" s="292" t="s">
        <v>211</v>
      </c>
      <c r="N45" s="246" t="str">
        <f>IF(B45=0,"",B45*Estructuras!$E$28)</f>
        <v/>
      </c>
      <c r="O45" s="207">
        <f>'R-2'!E54/2</f>
        <v>3839.6244799999999</v>
      </c>
      <c r="P45" s="207">
        <f>O45</f>
        <v>3839.6244799999999</v>
      </c>
      <c r="Q45" s="207" t="str">
        <f>IF(E45=0,"",E45*Estructuras!$E$28)</f>
        <v/>
      </c>
      <c r="R45" s="207"/>
      <c r="S45" s="207" t="str">
        <f>IF(G45=0,"",G45*Estructuras!$E$28)</f>
        <v/>
      </c>
      <c r="T45" s="207"/>
      <c r="U45" s="207" t="str">
        <f>IF(I45=0,"",I45*Estructuras!$E$28)</f>
        <v/>
      </c>
      <c r="V45" s="207" t="str">
        <f>IF(J45=0,"",J45*Estructuras!$E$28)</f>
        <v/>
      </c>
      <c r="W45" s="207" t="str">
        <f>IF(K45=0,"",K45*Estructuras!$E$28)</f>
        <v/>
      </c>
      <c r="X45" s="207"/>
      <c r="Y45" s="199"/>
      <c r="AA45" s="299">
        <f t="shared" si="7"/>
        <v>7679.2489599999999</v>
      </c>
    </row>
    <row r="46" spans="2:28" ht="13.5" thickBot="1">
      <c r="M46" s="204" t="s">
        <v>215</v>
      </c>
      <c r="N46" s="247">
        <f t="shared" ref="N46:Y46" si="10">SUM(N37:N45)</f>
        <v>0</v>
      </c>
      <c r="O46" s="209">
        <f t="shared" si="10"/>
        <v>158969.58694666668</v>
      </c>
      <c r="P46" s="209">
        <f t="shared" si="10"/>
        <v>862850.44794666662</v>
      </c>
      <c r="Q46" s="209">
        <f t="shared" ca="1" si="10"/>
        <v>823451.44264999998</v>
      </c>
      <c r="R46" s="209">
        <f t="shared" ca="1" si="10"/>
        <v>78761.818575925921</v>
      </c>
      <c r="S46" s="209">
        <f t="shared" ca="1" si="10"/>
        <v>97432.161225925927</v>
      </c>
      <c r="T46" s="209">
        <f t="shared" ca="1" si="10"/>
        <v>97432.161225925927</v>
      </c>
      <c r="U46" s="209">
        <f t="shared" si="10"/>
        <v>0</v>
      </c>
      <c r="V46" s="209">
        <f t="shared" si="10"/>
        <v>39096.277777777781</v>
      </c>
      <c r="W46" s="209">
        <f t="shared" si="10"/>
        <v>0</v>
      </c>
      <c r="X46" s="209">
        <f t="shared" si="10"/>
        <v>0</v>
      </c>
      <c r="Y46" s="205">
        <f t="shared" si="10"/>
        <v>0</v>
      </c>
      <c r="AA46" s="297">
        <f ca="1">SUM(AA37:AA45)</f>
        <v>2157993.896348889</v>
      </c>
      <c r="AB46" s="159" t="str">
        <f ca="1">IF(AA46=Estructuras!H13,"ok","NO")</f>
        <v>ok</v>
      </c>
    </row>
    <row r="47" spans="2:28" ht="15.95" customHeight="1" thickBot="1"/>
    <row r="48" spans="2:28" ht="15.95" customHeight="1" thickBot="1"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9"/>
    </row>
    <row r="49" spans="2:28" ht="15.95" customHeight="1" thickBot="1">
      <c r="M49" s="161" t="s">
        <v>222</v>
      </c>
      <c r="N49" s="245" t="str">
        <f t="shared" ref="N49:Y49" si="11">N$7</f>
        <v>Mar</v>
      </c>
      <c r="O49" s="206" t="str">
        <f t="shared" si="11"/>
        <v>Abr</v>
      </c>
      <c r="P49" s="206" t="str">
        <f t="shared" si="11"/>
        <v>May</v>
      </c>
      <c r="Q49" s="206" t="str">
        <f t="shared" si="11"/>
        <v>Jun</v>
      </c>
      <c r="R49" s="206" t="str">
        <f t="shared" si="11"/>
        <v>Jul</v>
      </c>
      <c r="S49" s="206" t="str">
        <f t="shared" si="11"/>
        <v>Ago</v>
      </c>
      <c r="T49" s="206" t="str">
        <f t="shared" si="11"/>
        <v>Set</v>
      </c>
      <c r="U49" s="206" t="str">
        <f t="shared" si="11"/>
        <v>Oct</v>
      </c>
      <c r="V49" s="206" t="str">
        <f t="shared" si="11"/>
        <v>Nov</v>
      </c>
      <c r="W49" s="206" t="str">
        <f t="shared" si="11"/>
        <v>Dic</v>
      </c>
      <c r="X49" s="206" t="str">
        <f t="shared" si="11"/>
        <v>Ene</v>
      </c>
      <c r="Y49" s="143" t="str">
        <f t="shared" si="11"/>
        <v>Feb</v>
      </c>
      <c r="AA49" s="296" t="s">
        <v>223</v>
      </c>
    </row>
    <row r="50" spans="2:28" ht="15.95" customHeight="1">
      <c r="M50" s="203" t="s">
        <v>221</v>
      </c>
      <c r="N50" s="246" t="str">
        <f>IF(SUM(B39,B41:B42)=0,"",B41*Estructuras!$E$34+SUM(B39,B42)*Estructuras!$E$33)</f>
        <v/>
      </c>
      <c r="O50" s="207">
        <f>IF(SUM(C39,C41:C42)=0,"",C41*Estructuras!$E$34+SUM(C39,C42)*Estructuras!$E$33)</f>
        <v>3579.7249999999999</v>
      </c>
      <c r="P50" s="207">
        <f>IF(SUM(D39,D41:D42)=0,"",D41*Estructuras!$E$34+SUM(D39,D42)*Estructuras!$E$33)</f>
        <v>70088.823749999996</v>
      </c>
      <c r="Q50" s="207">
        <f>IF(SUM(E39,E41:E42)=0,"",E41*Estructuras!$E$34+SUM(E39,E42)*Estructuras!$E$33)</f>
        <v>66509.098750000005</v>
      </c>
      <c r="R50" s="207">
        <f>IF(SUM(F39,F41:F42)=0,"",F41*Estructuras!$E$34+SUM(F39,F42)*Estructuras!$E$33)</f>
        <v>2267.1591666666668</v>
      </c>
      <c r="S50" s="207">
        <f>IF(SUM(G39,G41:G42)=0,"",G41*Estructuras!$E$34+SUM(G39,G42)*Estructuras!$E$33)</f>
        <v>2267.1591666666668</v>
      </c>
      <c r="T50" s="207">
        <f>IF(SUM(H39,H41:H42)=0,"",H41*Estructuras!$E$34+SUM(H39,H42)*Estructuras!$E$33)</f>
        <v>2267.1591666666668</v>
      </c>
      <c r="U50" s="207" t="str">
        <f>IF(SUM(I39,I41:I42)=0,"",I41*Estructuras!$E$34+SUM(I39,I42)*Estructuras!$E$33)</f>
        <v/>
      </c>
      <c r="V50" s="207">
        <f>IF(SUM(J39,J41:J42)=0,"",J41*Estructuras!$E$34+SUM(J39,J42)*Estructuras!$E$33)</f>
        <v>1789.8625</v>
      </c>
      <c r="W50" s="207" t="str">
        <f>IF(SUM(K39,K41:K42)=0,"",K41*Estructuras!$E$34+SUM(K39,K42)*Estructuras!$E$33)</f>
        <v/>
      </c>
      <c r="X50" s="207"/>
      <c r="Y50" s="199"/>
      <c r="AA50" s="199">
        <f>SUM(N50:Y50)</f>
        <v>148768.98750000005</v>
      </c>
    </row>
    <row r="51" spans="2:28" ht="15.95" customHeight="1">
      <c r="M51" s="223" t="s">
        <v>218</v>
      </c>
      <c r="N51" s="202">
        <f>Estructuras!H39/12</f>
        <v>2168.4579195229162</v>
      </c>
      <c r="O51" s="208">
        <f t="shared" ref="O51:W51" si="12">N51</f>
        <v>2168.4579195229162</v>
      </c>
      <c r="P51" s="208">
        <f t="shared" si="12"/>
        <v>2168.4579195229162</v>
      </c>
      <c r="Q51" s="208">
        <f t="shared" si="12"/>
        <v>2168.4579195229162</v>
      </c>
      <c r="R51" s="208">
        <f t="shared" si="12"/>
        <v>2168.4579195229162</v>
      </c>
      <c r="S51" s="208">
        <f t="shared" si="12"/>
        <v>2168.4579195229162</v>
      </c>
      <c r="T51" s="208">
        <f t="shared" si="12"/>
        <v>2168.4579195229162</v>
      </c>
      <c r="U51" s="208">
        <f t="shared" si="12"/>
        <v>2168.4579195229162</v>
      </c>
      <c r="V51" s="208">
        <f t="shared" si="12"/>
        <v>2168.4579195229162</v>
      </c>
      <c r="W51" s="208">
        <f t="shared" si="12"/>
        <v>2168.4579195229162</v>
      </c>
      <c r="X51" s="208">
        <f>W51</f>
        <v>2168.4579195229162</v>
      </c>
      <c r="Y51" s="202">
        <f>X51</f>
        <v>2168.4579195229162</v>
      </c>
      <c r="AA51" s="208">
        <f>SUM(N51:Y51)</f>
        <v>26021.495034274994</v>
      </c>
    </row>
    <row r="52" spans="2:28" ht="15.95" customHeight="1">
      <c r="M52" s="200" t="s">
        <v>43</v>
      </c>
      <c r="N52" s="246" t="str">
        <f>IF(D52=0,"",D52*FICHA!$F$7)</f>
        <v/>
      </c>
      <c r="O52" s="207">
        <f>Estructuras!H42/6</f>
        <v>19431.85168572333</v>
      </c>
      <c r="P52" s="207">
        <f>O52</f>
        <v>19431.85168572333</v>
      </c>
      <c r="Q52" s="207">
        <f>P52</f>
        <v>19431.85168572333</v>
      </c>
      <c r="R52" s="207">
        <f>Q52</f>
        <v>19431.85168572333</v>
      </c>
      <c r="S52" s="207">
        <f>R52</f>
        <v>19431.85168572333</v>
      </c>
      <c r="T52" s="207">
        <f>S52</f>
        <v>19431.85168572333</v>
      </c>
      <c r="U52" s="207" t="str">
        <f>IF(K52=0,"",K52*FICHA!$F$7)</f>
        <v/>
      </c>
      <c r="V52" s="207"/>
      <c r="W52" s="207"/>
      <c r="X52" s="207"/>
      <c r="Y52" s="199"/>
      <c r="AA52" s="199">
        <f t="shared" ref="AA52:AA53" si="13">SUM(N52:Y52)</f>
        <v>116591.11011433999</v>
      </c>
    </row>
    <row r="53" spans="2:28">
      <c r="M53" s="223" t="s">
        <v>150</v>
      </c>
      <c r="N53" s="202">
        <f>Estructuras!H47*25%</f>
        <v>12632.1525</v>
      </c>
      <c r="O53" s="208"/>
      <c r="P53" s="208" t="str">
        <f>IF(F53=0,"",F53*FICHA!$F$7)</f>
        <v/>
      </c>
      <c r="Q53" s="208">
        <f>N53</f>
        <v>12632.1525</v>
      </c>
      <c r="R53" s="208"/>
      <c r="S53" s="208" t="str">
        <f>IF(I53=0,"",I53*FICHA!$F$7)</f>
        <v/>
      </c>
      <c r="T53" s="208">
        <f>Q53</f>
        <v>12632.1525</v>
      </c>
      <c r="U53" s="208" t="str">
        <f>IF(K53=0,"",K53*FICHA!$F$7)</f>
        <v/>
      </c>
      <c r="V53" s="208"/>
      <c r="W53" s="208">
        <f>T53</f>
        <v>12632.1525</v>
      </c>
      <c r="X53" s="208"/>
      <c r="Y53" s="202"/>
      <c r="AA53" s="208">
        <f t="shared" si="13"/>
        <v>50528.61</v>
      </c>
    </row>
    <row r="54" spans="2:28" ht="4.5" customHeight="1" thickBot="1">
      <c r="M54" s="203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AA54" s="199"/>
    </row>
    <row r="55" spans="2:28" ht="13.5" thickBot="1">
      <c r="M55" s="204" t="s">
        <v>219</v>
      </c>
      <c r="N55" s="247">
        <f t="shared" ref="N55:Y55" si="14">SUM(N50:N53)</f>
        <v>14800.610419522916</v>
      </c>
      <c r="O55" s="209">
        <f t="shared" si="14"/>
        <v>25180.034605246248</v>
      </c>
      <c r="P55" s="209">
        <f t="shared" si="14"/>
        <v>91689.133355246246</v>
      </c>
      <c r="Q55" s="209">
        <f t="shared" si="14"/>
        <v>100741.56085524625</v>
      </c>
      <c r="R55" s="209">
        <f t="shared" si="14"/>
        <v>23867.468771912914</v>
      </c>
      <c r="S55" s="209">
        <f t="shared" si="14"/>
        <v>23867.468771912914</v>
      </c>
      <c r="T55" s="209">
        <f t="shared" si="14"/>
        <v>36499.621271912911</v>
      </c>
      <c r="U55" s="209">
        <f t="shared" si="14"/>
        <v>2168.4579195229162</v>
      </c>
      <c r="V55" s="209">
        <f t="shared" si="14"/>
        <v>3958.3204195229164</v>
      </c>
      <c r="W55" s="209">
        <f t="shared" si="14"/>
        <v>14800.610419522916</v>
      </c>
      <c r="X55" s="209">
        <f t="shared" si="14"/>
        <v>2168.4579195229162</v>
      </c>
      <c r="Y55" s="205">
        <f t="shared" si="14"/>
        <v>2168.4579195229162</v>
      </c>
      <c r="AA55" s="304">
        <f>SUM(AA50:AA53)</f>
        <v>341910.202648615</v>
      </c>
      <c r="AB55" s="159" t="str">
        <f>IF(AA55=SUM(Estructuras!H32,Estructuras!H38),"ok","NO")</f>
        <v>ok</v>
      </c>
    </row>
    <row r="56" spans="2:28" ht="13.5" thickBot="1"/>
    <row r="57" spans="2:28" ht="13.5" thickBot="1">
      <c r="M57" s="225" t="s">
        <v>258</v>
      </c>
      <c r="N57" s="248">
        <f>SUM(N33,N46,N55)</f>
        <v>379959.25920172286</v>
      </c>
      <c r="O57" s="226">
        <f t="shared" ref="O57:Y57" si="15">SUM(O33,O46,O55)</f>
        <v>746050.17968121299</v>
      </c>
      <c r="P57" s="226">
        <f t="shared" si="15"/>
        <v>1452708.5071292128</v>
      </c>
      <c r="Q57" s="226">
        <f t="shared" ca="1" si="15"/>
        <v>1340887.7253217795</v>
      </c>
      <c r="R57" s="226">
        <f t="shared" ca="1" si="15"/>
        <v>183241.27843188605</v>
      </c>
      <c r="S57" s="226">
        <f t="shared" ca="1" si="15"/>
        <v>151791.80654315272</v>
      </c>
      <c r="T57" s="226">
        <f t="shared" ca="1" si="15"/>
        <v>223592.09174821939</v>
      </c>
      <c r="U57" s="226">
        <f t="shared" si="15"/>
        <v>31752.524272056253</v>
      </c>
      <c r="V57" s="226">
        <f t="shared" si="15"/>
        <v>82424.61734929237</v>
      </c>
      <c r="W57" s="226">
        <f t="shared" si="15"/>
        <v>14800.610419522916</v>
      </c>
      <c r="X57" s="226">
        <f t="shared" si="15"/>
        <v>2168.4579195229162</v>
      </c>
      <c r="Y57" s="227">
        <f t="shared" si="15"/>
        <v>2168.4579195229162</v>
      </c>
      <c r="AA57" s="307">
        <f ca="1">SUM(N57:Y57)</f>
        <v>4611545.515937103</v>
      </c>
      <c r="AB57" s="159" t="str">
        <f ca="1">IF(AA57=Estructuras!H49,"ok","NO")</f>
        <v>ok</v>
      </c>
    </row>
    <row r="58" spans="2:28" ht="13.5" thickBot="1">
      <c r="B58" s="305" t="s">
        <v>259</v>
      </c>
      <c r="H58" s="253"/>
      <c r="I58" s="253"/>
      <c r="J58" s="253"/>
      <c r="K58" s="254" t="s">
        <v>227</v>
      </c>
      <c r="M58" s="203" t="s">
        <v>212</v>
      </c>
      <c r="N58" s="249">
        <f>TC!E27</f>
        <v>501.14129032258057</v>
      </c>
      <c r="O58" s="221">
        <f>TC!F27</f>
        <v>505.09783333333331</v>
      </c>
      <c r="P58" s="221">
        <f>TC!G27</f>
        <v>506.21645161290314</v>
      </c>
      <c r="Q58" s="221">
        <f>TC!H27</f>
        <v>505.73649999999998</v>
      </c>
      <c r="R58" s="221">
        <f>TC!I27</f>
        <v>504.49983870967742</v>
      </c>
      <c r="S58" s="221">
        <f>TC!J27</f>
        <v>504.69064516129043</v>
      </c>
      <c r="T58" s="221">
        <f>TC!K27</f>
        <v>504.53466666666657</v>
      </c>
      <c r="U58" s="221">
        <f>TC!L27</f>
        <v>503.09403225806471</v>
      </c>
      <c r="V58" s="221">
        <f>TC!M27</f>
        <v>499.608</v>
      </c>
      <c r="W58" s="221">
        <f>TC!N27</f>
        <v>494.79919354838711</v>
      </c>
      <c r="X58" s="221">
        <f>TC!P27</f>
        <v>495.13500000000005</v>
      </c>
      <c r="Y58" s="167">
        <f>TC!Q27</f>
        <v>484.16964285714283</v>
      </c>
      <c r="AA58" s="167">
        <f ca="1">AA57/AA59</f>
        <v>505.07996261716897</v>
      </c>
    </row>
    <row r="59" spans="2:28" ht="13.5" thickBot="1">
      <c r="M59" s="225" t="s">
        <v>220</v>
      </c>
      <c r="N59" s="248">
        <f t="shared" ref="N59:Y59" si="16">N57/N58</f>
        <v>758.18789339259229</v>
      </c>
      <c r="O59" s="226">
        <f t="shared" si="16"/>
        <v>1477.0409422621024</v>
      </c>
      <c r="P59" s="226">
        <f t="shared" si="16"/>
        <v>2869.7378413929528</v>
      </c>
      <c r="Q59" s="226">
        <f t="shared" ca="1" si="16"/>
        <v>2651.3564382277718</v>
      </c>
      <c r="R59" s="226">
        <f t="shared" ca="1" si="16"/>
        <v>363.21375027700498</v>
      </c>
      <c r="S59" s="226">
        <f t="shared" ca="1" si="16"/>
        <v>300.76207672651168</v>
      </c>
      <c r="T59" s="226">
        <f t="shared" ca="1" si="16"/>
        <v>443.16497263792797</v>
      </c>
      <c r="U59" s="226">
        <f t="shared" si="16"/>
        <v>63.114491995740131</v>
      </c>
      <c r="V59" s="226">
        <f t="shared" si="16"/>
        <v>164.9785779036612</v>
      </c>
      <c r="W59" s="226">
        <f t="shared" si="16"/>
        <v>29.912357603864088</v>
      </c>
      <c r="X59" s="226">
        <f t="shared" si="16"/>
        <v>4.3795286528379451</v>
      </c>
      <c r="Y59" s="227">
        <f t="shared" si="16"/>
        <v>4.478715160096753</v>
      </c>
      <c r="AA59" s="227">
        <f ca="1">SUM(N59:Y59)</f>
        <v>9130.3275862330647</v>
      </c>
    </row>
    <row r="61" spans="2:28">
      <c r="AA61" s="199"/>
    </row>
  </sheetData>
  <sheetProtection algorithmName="SHA-512" hashValue="BCtervMsnqGfge9IqFpSAHNSu77E3gBq3dTDj8tO+bpdRBOiMAxOfz52Q0eW0WaOd++mJoDR3dV01FZl1SdOoA==" saltValue="aieLOeRfqf3H3NlBndnSGQ==" spinCount="100000" sheet="1" objects="1" scenarios="1"/>
  <printOptions horizontalCentered="1" verticalCentered="1"/>
  <pageMargins left="1.2598425196850394" right="0.70866141732283472" top="0.74803149606299213" bottom="0.74803149606299213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9B3C-B458-4AA0-8E84-ECF4E19ECFDA}">
  <sheetPr>
    <tabColor rgb="FFEBECC4"/>
  </sheetPr>
  <dimension ref="B1:AD72"/>
  <sheetViews>
    <sheetView showGridLines="0" workbookViewId="0">
      <selection activeCell="D35" sqref="D35:I35"/>
    </sheetView>
  </sheetViews>
  <sheetFormatPr baseColWidth="10" defaultColWidth="11.42578125" defaultRowHeight="12.75"/>
  <cols>
    <col min="1" max="1" width="1.7109375" style="5" customWidth="1"/>
    <col min="2" max="11" width="3.85546875" style="210" customWidth="1"/>
    <col min="12" max="12" width="3.140625" style="5" customWidth="1"/>
    <col min="13" max="13" width="23.85546875" style="5" bestFit="1" customWidth="1"/>
    <col min="14" max="15" width="8" style="5" customWidth="1"/>
    <col min="16" max="17" width="9.140625" style="5" bestFit="1" customWidth="1"/>
    <col min="18" max="25" width="8" style="5" customWidth="1"/>
    <col min="26" max="26" width="1" style="5" customWidth="1"/>
    <col min="27" max="27" width="12.7109375" style="5" customWidth="1"/>
    <col min="28" max="28" width="6.85546875" style="5" customWidth="1"/>
    <col min="29" max="16384" width="11.42578125" style="5"/>
  </cols>
  <sheetData>
    <row r="1" spans="12:27" ht="20.25">
      <c r="M1" s="306" t="s">
        <v>492</v>
      </c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</row>
    <row r="2" spans="12:27" ht="20.25">
      <c r="M2" s="306" t="s">
        <v>261</v>
      </c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12:27" ht="20.25">
      <c r="M3" s="306" t="str">
        <f>UPPER(FICHA!E33)</f>
        <v>COSECHA 2025-2026</v>
      </c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</row>
    <row r="4" spans="12:27" ht="10.5" customHeight="1" thickBot="1">
      <c r="M4" s="306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</row>
    <row r="5" spans="12:27" ht="15.95" customHeight="1" thickBot="1">
      <c r="N5" s="187" t="str">
        <f>CRONO1!N5</f>
        <v>Meses de la Cosecha 2025-2026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9"/>
    </row>
    <row r="6" spans="12:27" ht="3.75" customHeight="1"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59"/>
    </row>
    <row r="7" spans="12:27" ht="15.95" customHeight="1" thickBot="1">
      <c r="M7" s="161" t="s">
        <v>153</v>
      </c>
      <c r="N7" s="241" t="s">
        <v>195</v>
      </c>
      <c r="O7" s="191" t="s">
        <v>196</v>
      </c>
      <c r="P7" s="191" t="s">
        <v>197</v>
      </c>
      <c r="Q7" s="191" t="s">
        <v>198</v>
      </c>
      <c r="R7" s="191" t="s">
        <v>199</v>
      </c>
      <c r="S7" s="191" t="s">
        <v>200</v>
      </c>
      <c r="T7" s="191" t="s">
        <v>201</v>
      </c>
      <c r="U7" s="191" t="s">
        <v>202</v>
      </c>
      <c r="V7" s="191" t="s">
        <v>203</v>
      </c>
      <c r="W7" s="191" t="s">
        <v>204</v>
      </c>
      <c r="X7" s="238" t="s">
        <v>193</v>
      </c>
      <c r="Y7" s="239" t="s">
        <v>194</v>
      </c>
    </row>
    <row r="8" spans="12:27" ht="18" customHeight="1">
      <c r="M8" s="5" t="s">
        <v>95</v>
      </c>
      <c r="N8" s="251"/>
      <c r="O8" s="192"/>
      <c r="P8" s="193"/>
      <c r="Q8" s="193"/>
      <c r="R8" s="192"/>
      <c r="S8" s="193"/>
      <c r="T8" s="193"/>
      <c r="U8" s="192"/>
      <c r="V8" s="193"/>
      <c r="W8" s="250"/>
      <c r="X8" s="250"/>
    </row>
    <row r="9" spans="12:27" ht="18" customHeight="1">
      <c r="M9" s="194" t="s">
        <v>30</v>
      </c>
      <c r="N9" s="419"/>
      <c r="O9" s="196"/>
      <c r="P9" s="196"/>
      <c r="Q9" s="196"/>
      <c r="R9" s="196"/>
      <c r="S9" s="196"/>
      <c r="T9" s="196"/>
      <c r="U9" s="196"/>
      <c r="V9" s="196"/>
      <c r="W9" s="195"/>
      <c r="X9" s="195"/>
      <c r="Y9" s="194"/>
    </row>
    <row r="10" spans="12:27" ht="18" customHeight="1">
      <c r="M10" s="194" t="s">
        <v>80</v>
      </c>
      <c r="N10" s="243"/>
      <c r="O10" s="195"/>
      <c r="P10" s="196"/>
      <c r="Q10" s="196"/>
      <c r="R10" s="195"/>
      <c r="S10" s="195"/>
      <c r="T10" s="196"/>
      <c r="U10" s="196"/>
      <c r="V10" s="195"/>
      <c r="W10" s="195"/>
      <c r="X10" s="195"/>
      <c r="Y10" s="194"/>
    </row>
    <row r="11" spans="12:27" ht="18" customHeight="1">
      <c r="M11" s="194" t="s">
        <v>78</v>
      </c>
      <c r="N11" s="243"/>
      <c r="O11" s="195"/>
      <c r="P11" s="195"/>
      <c r="Q11" s="196"/>
      <c r="R11" s="196"/>
      <c r="S11" s="196"/>
      <c r="T11" s="195"/>
      <c r="U11" s="195"/>
      <c r="V11" s="195"/>
      <c r="W11" s="195"/>
      <c r="X11" s="195"/>
      <c r="Y11" s="194"/>
    </row>
    <row r="12" spans="12:27" ht="18" customHeight="1">
      <c r="M12" s="194" t="s">
        <v>96</v>
      </c>
      <c r="N12" s="243"/>
      <c r="O12" s="196"/>
      <c r="P12" s="196"/>
      <c r="Q12" s="195"/>
      <c r="R12" s="195"/>
      <c r="S12" s="195"/>
      <c r="T12" s="196"/>
      <c r="U12" s="196"/>
      <c r="V12" s="195"/>
      <c r="W12" s="195"/>
      <c r="X12" s="195"/>
      <c r="Y12" s="194"/>
    </row>
    <row r="13" spans="12:27" ht="18" customHeight="1">
      <c r="M13" s="194" t="s">
        <v>81</v>
      </c>
      <c r="N13" s="243"/>
      <c r="O13" s="195"/>
      <c r="P13" s="234"/>
      <c r="Q13" s="234"/>
      <c r="R13" s="195"/>
      <c r="S13" s="195"/>
      <c r="T13" s="195"/>
      <c r="U13" s="195"/>
      <c r="V13" s="195"/>
      <c r="W13" s="195"/>
      <c r="X13" s="195"/>
      <c r="Y13" s="194"/>
    </row>
    <row r="14" spans="12:27" ht="18" customHeight="1" thickBot="1">
      <c r="M14" s="161" t="s">
        <v>82</v>
      </c>
      <c r="N14" s="244"/>
      <c r="O14" s="197"/>
      <c r="P14" s="235"/>
      <c r="Q14" s="235"/>
      <c r="R14" s="197"/>
      <c r="S14" s="197"/>
      <c r="T14" s="197"/>
      <c r="U14" s="197"/>
      <c r="V14" s="197"/>
      <c r="W14" s="197"/>
      <c r="X14" s="197"/>
      <c r="Y14" s="161"/>
    </row>
    <row r="15" spans="12:27" ht="15.95" customHeight="1">
      <c r="L15" s="210"/>
      <c r="M15" s="10" t="s">
        <v>493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12:27" ht="12.95" customHeight="1">
      <c r="L16" s="210"/>
      <c r="M16" s="700" t="s">
        <v>161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2:30" ht="15.95" customHeight="1"/>
    <row r="18" spans="2:30" ht="13.5" thickBot="1"/>
    <row r="19" spans="2:30" ht="15.95" customHeight="1" thickBot="1">
      <c r="B19" s="220" t="s">
        <v>156</v>
      </c>
      <c r="N19" s="187" t="s">
        <v>216</v>
      </c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9"/>
    </row>
    <row r="20" spans="2:30" ht="15.95" customHeight="1" thickBot="1">
      <c r="B20" s="211" t="str">
        <f t="shared" ref="B20:K20" si="0">N20</f>
        <v>Mar</v>
      </c>
      <c r="C20" s="211" t="str">
        <f t="shared" si="0"/>
        <v>Abr</v>
      </c>
      <c r="D20" s="211" t="str">
        <f t="shared" si="0"/>
        <v>May</v>
      </c>
      <c r="E20" s="211" t="str">
        <f t="shared" si="0"/>
        <v>Jun</v>
      </c>
      <c r="F20" s="211" t="str">
        <f t="shared" si="0"/>
        <v>Jul</v>
      </c>
      <c r="G20" s="211" t="str">
        <f t="shared" si="0"/>
        <v>Ago</v>
      </c>
      <c r="H20" s="211" t="str">
        <f t="shared" si="0"/>
        <v>Set</v>
      </c>
      <c r="I20" s="211" t="str">
        <f t="shared" si="0"/>
        <v>Oct</v>
      </c>
      <c r="J20" s="211" t="str">
        <f t="shared" si="0"/>
        <v>Nov</v>
      </c>
      <c r="K20" s="212" t="str">
        <f t="shared" si="0"/>
        <v>Dic</v>
      </c>
      <c r="M20" s="161" t="s">
        <v>153</v>
      </c>
      <c r="N20" s="245" t="str">
        <f>N$7</f>
        <v>Mar</v>
      </c>
      <c r="O20" s="206" t="str">
        <f t="shared" ref="O20:Y20" si="1">O$7</f>
        <v>Abr</v>
      </c>
      <c r="P20" s="206" t="str">
        <f t="shared" si="1"/>
        <v>May</v>
      </c>
      <c r="Q20" s="206" t="str">
        <f t="shared" si="1"/>
        <v>Jun</v>
      </c>
      <c r="R20" s="206" t="str">
        <f t="shared" si="1"/>
        <v>Jul</v>
      </c>
      <c r="S20" s="206" t="str">
        <f t="shared" si="1"/>
        <v>Ago</v>
      </c>
      <c r="T20" s="206" t="str">
        <f t="shared" si="1"/>
        <v>Set</v>
      </c>
      <c r="U20" s="206" t="str">
        <f t="shared" si="1"/>
        <v>Oct</v>
      </c>
      <c r="V20" s="206" t="str">
        <f t="shared" si="1"/>
        <v>Nov</v>
      </c>
      <c r="W20" s="206" t="str">
        <f t="shared" si="1"/>
        <v>Dic</v>
      </c>
      <c r="X20" s="206" t="str">
        <f t="shared" si="1"/>
        <v>Ene</v>
      </c>
      <c r="Y20" s="143" t="str">
        <f t="shared" si="1"/>
        <v>Feb</v>
      </c>
      <c r="AA20" s="296" t="s">
        <v>223</v>
      </c>
    </row>
    <row r="21" spans="2:30" ht="15.95" customHeight="1">
      <c r="B21" s="213"/>
      <c r="C21" s="213"/>
      <c r="D21" s="213">
        <f>FICHA!C12*FICHA!V19/4</f>
        <v>5.0874999999999995</v>
      </c>
      <c r="E21" s="213">
        <f>D21</f>
        <v>5.0874999999999995</v>
      </c>
      <c r="F21" s="213"/>
      <c r="G21" s="213">
        <f>D21</f>
        <v>5.0874999999999995</v>
      </c>
      <c r="H21" s="213">
        <f>G21</f>
        <v>5.0874999999999995</v>
      </c>
      <c r="I21" s="213"/>
      <c r="J21" s="213">
        <f>FICHA!C12*FICHA!V20</f>
        <v>5.55</v>
      </c>
      <c r="K21" s="214"/>
      <c r="M21" s="5" t="str">
        <f t="shared" ref="M21:M27" si="2">M8</f>
        <v>Aplicación de fertilizantes</v>
      </c>
      <c r="N21" s="246"/>
      <c r="O21" s="207"/>
      <c r="P21" s="207">
        <f>D21*FICHA!$F$7</f>
        <v>8278.430875</v>
      </c>
      <c r="Q21" s="207">
        <f>E21*FICHA!$F$7</f>
        <v>8278.430875</v>
      </c>
      <c r="R21" s="207"/>
      <c r="S21" s="207">
        <f>G21*FICHA!$F$7</f>
        <v>8278.430875</v>
      </c>
      <c r="T21" s="207">
        <f>H21*FICHA!$F$7</f>
        <v>8278.430875</v>
      </c>
      <c r="U21" s="207"/>
      <c r="V21" s="207">
        <f>J21*FICHA!$F$7</f>
        <v>9031.0154999999995</v>
      </c>
      <c r="W21" s="207"/>
      <c r="X21" s="207"/>
      <c r="Y21" s="199"/>
      <c r="AA21" s="298">
        <f>SUM(N21:Y21)</f>
        <v>42144.739000000001</v>
      </c>
    </row>
    <row r="22" spans="2:30" ht="15.95" customHeight="1">
      <c r="B22" s="215"/>
      <c r="C22" s="215"/>
      <c r="D22" s="215">
        <f>FICHA!C14*25%</f>
        <v>11.425000000000001</v>
      </c>
      <c r="E22" s="215">
        <f>D22</f>
        <v>11.425000000000001</v>
      </c>
      <c r="F22" s="215"/>
      <c r="G22" s="215">
        <f>E22</f>
        <v>11.425000000000001</v>
      </c>
      <c r="H22" s="215"/>
      <c r="I22" s="215">
        <f>G22</f>
        <v>11.425000000000001</v>
      </c>
      <c r="J22" s="215"/>
      <c r="K22" s="216"/>
      <c r="M22" s="201" t="str">
        <f t="shared" si="2"/>
        <v>Atomizaciones</v>
      </c>
      <c r="N22" s="202">
        <f>'R-2'!L47/9</f>
        <v>8262.6107777777779</v>
      </c>
      <c r="O22" s="208">
        <f>N22</f>
        <v>8262.6107777777779</v>
      </c>
      <c r="P22" s="208">
        <f t="shared" ref="P22:V22" si="3">O22</f>
        <v>8262.6107777777779</v>
      </c>
      <c r="Q22" s="208">
        <f t="shared" si="3"/>
        <v>8262.6107777777779</v>
      </c>
      <c r="R22" s="208">
        <f t="shared" si="3"/>
        <v>8262.6107777777779</v>
      </c>
      <c r="S22" s="208">
        <f t="shared" si="3"/>
        <v>8262.6107777777779</v>
      </c>
      <c r="T22" s="208">
        <f t="shared" si="3"/>
        <v>8262.6107777777779</v>
      </c>
      <c r="U22" s="208">
        <f t="shared" si="3"/>
        <v>8262.6107777777779</v>
      </c>
      <c r="V22" s="208">
        <f t="shared" si="3"/>
        <v>8262.6107777777779</v>
      </c>
      <c r="W22" s="208"/>
      <c r="X22" s="208"/>
      <c r="Y22" s="202"/>
      <c r="AA22" s="208">
        <f t="shared" ref="AA22:AA27" si="4">SUM(N22:Y22)</f>
        <v>74363.497000000003</v>
      </c>
    </row>
    <row r="23" spans="2:30" ht="15.95" customHeight="1">
      <c r="B23" s="215"/>
      <c r="C23" s="215"/>
      <c r="D23" s="215">
        <f>FICHA!C15*25%</f>
        <v>5.7750000000000004</v>
      </c>
      <c r="E23" s="215">
        <f>D23</f>
        <v>5.7750000000000004</v>
      </c>
      <c r="F23" s="215"/>
      <c r="G23" s="215"/>
      <c r="H23" s="215">
        <f>D23</f>
        <v>5.7750000000000004</v>
      </c>
      <c r="I23" s="215">
        <f>D23</f>
        <v>5.7750000000000004</v>
      </c>
      <c r="J23" s="215"/>
      <c r="K23" s="216"/>
      <c r="M23" s="200" t="str">
        <f t="shared" si="2"/>
        <v>Arreglo de sombra</v>
      </c>
      <c r="N23" s="246"/>
      <c r="O23" s="207"/>
      <c r="P23" s="208">
        <f>D23*FICHA!$F$7</f>
        <v>9397.1377500000017</v>
      </c>
      <c r="Q23" s="208">
        <f>E23*FICHA!$F$7</f>
        <v>9397.1377500000017</v>
      </c>
      <c r="R23" s="207"/>
      <c r="S23" s="207"/>
      <c r="T23" s="208">
        <f>H23*FICHA!$F$7</f>
        <v>9397.1377500000017</v>
      </c>
      <c r="U23" s="208">
        <f>I23*FICHA!$F$7</f>
        <v>9397.1377500000017</v>
      </c>
      <c r="V23" s="207"/>
      <c r="W23" s="207"/>
      <c r="X23" s="207"/>
      <c r="Y23" s="199"/>
      <c r="AA23" s="199">
        <f t="shared" si="4"/>
        <v>37588.551000000007</v>
      </c>
    </row>
    <row r="24" spans="2:30" ht="15.95" customHeight="1">
      <c r="B24" s="215"/>
      <c r="C24" s="215">
        <f>FICHA!C16*50%</f>
        <v>23.65</v>
      </c>
      <c r="D24" s="215"/>
      <c r="E24" s="215"/>
      <c r="F24" s="215"/>
      <c r="G24" s="215">
        <f>C24</f>
        <v>23.65</v>
      </c>
      <c r="H24" s="215"/>
      <c r="I24" s="215"/>
      <c r="J24" s="215"/>
      <c r="K24" s="216"/>
      <c r="M24" s="201" t="str">
        <f t="shared" si="2"/>
        <v>Control manual de malezas</v>
      </c>
      <c r="N24" s="202"/>
      <c r="O24" s="208"/>
      <c r="P24" s="208"/>
      <c r="Q24" s="208">
        <f>'R-2'!L49/3</f>
        <v>25655.677666666666</v>
      </c>
      <c r="R24" s="208">
        <f>Q24</f>
        <v>25655.677666666666</v>
      </c>
      <c r="S24" s="208">
        <f>R24</f>
        <v>25655.677666666666</v>
      </c>
      <c r="T24" s="208"/>
      <c r="U24" s="208"/>
      <c r="V24" s="208"/>
      <c r="W24" s="208"/>
      <c r="X24" s="208"/>
      <c r="Y24" s="202"/>
      <c r="AA24" s="208">
        <f t="shared" si="4"/>
        <v>76967.032999999996</v>
      </c>
    </row>
    <row r="25" spans="2:30" ht="15.95" customHeight="1">
      <c r="B25" s="215"/>
      <c r="C25" s="215"/>
      <c r="D25" s="215">
        <f>FICHA!C17/3</f>
        <v>9.8333333333333339</v>
      </c>
      <c r="E25" s="217"/>
      <c r="F25" s="215"/>
      <c r="G25" s="215">
        <f>D25</f>
        <v>9.8333333333333339</v>
      </c>
      <c r="H25" s="215">
        <f>D25</f>
        <v>9.8333333333333339</v>
      </c>
      <c r="I25" s="215"/>
      <c r="J25" s="215"/>
      <c r="K25" s="216"/>
      <c r="M25" s="194" t="str">
        <f t="shared" si="2"/>
        <v>Aplicación de herbicidas</v>
      </c>
      <c r="N25" s="246"/>
      <c r="O25" s="207">
        <f>'R-2'!L50/4</f>
        <v>12000.67375</v>
      </c>
      <c r="P25" s="208">
        <f>O25</f>
        <v>12000.67375</v>
      </c>
      <c r="Q25" s="207"/>
      <c r="R25" s="207"/>
      <c r="S25" s="208"/>
      <c r="T25" s="208">
        <f>O25</f>
        <v>12000.67375</v>
      </c>
      <c r="U25" s="207">
        <f>T25</f>
        <v>12000.67375</v>
      </c>
      <c r="V25" s="207"/>
      <c r="W25" s="207"/>
      <c r="X25" s="207"/>
      <c r="Y25" s="199"/>
      <c r="AA25" s="199">
        <f t="shared" si="4"/>
        <v>48002.695</v>
      </c>
    </row>
    <row r="26" spans="2:30" ht="15.95" customHeight="1">
      <c r="B26" s="215"/>
      <c r="C26" s="215"/>
      <c r="D26" s="215">
        <f>FICHA!C18*50%</f>
        <v>15.7</v>
      </c>
      <c r="E26" s="215">
        <f>D26</f>
        <v>15.7</v>
      </c>
      <c r="F26" s="215"/>
      <c r="G26" s="215"/>
      <c r="H26" s="215"/>
      <c r="I26" s="215"/>
      <c r="J26" s="215"/>
      <c r="K26" s="216"/>
      <c r="M26" s="201" t="str">
        <f t="shared" si="2"/>
        <v>Mantenimiento de finca</v>
      </c>
      <c r="N26" s="202"/>
      <c r="O26" s="208"/>
      <c r="P26" s="208">
        <f>D26*FICHA!$F$7</f>
        <v>25547.197</v>
      </c>
      <c r="Q26" s="208">
        <f>E26*FICHA!$F$7</f>
        <v>25547.197</v>
      </c>
      <c r="R26" s="208"/>
      <c r="S26" s="208"/>
      <c r="T26" s="208"/>
      <c r="U26" s="208"/>
      <c r="V26" s="208"/>
      <c r="W26" s="208"/>
      <c r="X26" s="208"/>
      <c r="Y26" s="202"/>
      <c r="AA26" s="208">
        <f t="shared" si="4"/>
        <v>51094.394</v>
      </c>
    </row>
    <row r="27" spans="2:30" ht="15.95" customHeight="1" thickBot="1">
      <c r="B27" s="218"/>
      <c r="C27" s="218"/>
      <c r="D27" s="218">
        <f>FICHA!C19*50%</f>
        <v>10.55</v>
      </c>
      <c r="E27" s="218">
        <f>D27</f>
        <v>10.55</v>
      </c>
      <c r="F27" s="218"/>
      <c r="G27" s="218"/>
      <c r="H27" s="218"/>
      <c r="I27" s="218"/>
      <c r="J27" s="218"/>
      <c r="K27" s="219"/>
      <c r="M27" s="224" t="str">
        <f t="shared" si="2"/>
        <v>Reposición de plantas</v>
      </c>
      <c r="N27" s="252"/>
      <c r="O27" s="237"/>
      <c r="P27" s="237">
        <f>D27*FICHA!$F$7</f>
        <v>17167.065500000001</v>
      </c>
      <c r="Q27" s="237">
        <f>E27*FICHA!$F$7</f>
        <v>17167.065500000001</v>
      </c>
      <c r="R27" s="237"/>
      <c r="S27" s="237"/>
      <c r="T27" s="237"/>
      <c r="U27" s="237"/>
      <c r="V27" s="237"/>
      <c r="W27" s="237"/>
      <c r="X27" s="237"/>
      <c r="Y27" s="236"/>
      <c r="AA27" s="199">
        <f t="shared" si="4"/>
        <v>34334.131000000001</v>
      </c>
    </row>
    <row r="28" spans="2:30" ht="13.5" thickBot="1">
      <c r="M28" s="204" t="s">
        <v>213</v>
      </c>
      <c r="N28" s="247">
        <f t="shared" ref="N28:W28" si="5">SUM(N21:N27)</f>
        <v>8262.6107777777779</v>
      </c>
      <c r="O28" s="209">
        <f t="shared" si="5"/>
        <v>20263.284527777778</v>
      </c>
      <c r="P28" s="209">
        <f t="shared" si="5"/>
        <v>80653.115652777778</v>
      </c>
      <c r="Q28" s="209">
        <f t="shared" si="5"/>
        <v>94308.119569444447</v>
      </c>
      <c r="R28" s="209">
        <f t="shared" si="5"/>
        <v>33918.288444444443</v>
      </c>
      <c r="S28" s="209">
        <f t="shared" si="5"/>
        <v>42196.719319444441</v>
      </c>
      <c r="T28" s="209">
        <f t="shared" si="5"/>
        <v>37938.853152777781</v>
      </c>
      <c r="U28" s="209">
        <f t="shared" si="5"/>
        <v>29660.422277777783</v>
      </c>
      <c r="V28" s="209">
        <f t="shared" si="5"/>
        <v>17293.626277777777</v>
      </c>
      <c r="W28" s="209">
        <f t="shared" si="5"/>
        <v>0</v>
      </c>
      <c r="X28" s="209"/>
      <c r="Y28" s="205"/>
      <c r="AA28" s="297">
        <f>SUM(AA21:AA27)</f>
        <v>364495.04</v>
      </c>
      <c r="AB28" s="159" t="str">
        <f>IF(AA28=Estructuras!T61,"ok","NO")</f>
        <v>ok</v>
      </c>
    </row>
    <row r="29" spans="2:30" ht="13.5" thickBot="1">
      <c r="M29" s="300" t="s">
        <v>256</v>
      </c>
      <c r="N29" s="301">
        <f>N28*FICHA!$F$8</f>
        <v>3723.1324164666667</v>
      </c>
      <c r="O29" s="301">
        <f>O28*FICHA!$F$8</f>
        <v>9130.6360082166666</v>
      </c>
      <c r="P29" s="301">
        <f>P28*FICHA!$F$8</f>
        <v>36342.293913141664</v>
      </c>
      <c r="Q29" s="301">
        <f>Q28*FICHA!$F$8</f>
        <v>42495.238677991671</v>
      </c>
      <c r="R29" s="301">
        <f>R28*FICHA!$F$8</f>
        <v>15283.580773066666</v>
      </c>
      <c r="S29" s="301">
        <f>S28*FICHA!$F$8</f>
        <v>19013.841725341666</v>
      </c>
      <c r="T29" s="301">
        <f>T28*FICHA!$F$8</f>
        <v>17095.247230641668</v>
      </c>
      <c r="U29" s="301">
        <f>U28*FICHA!$F$8</f>
        <v>13364.986278366669</v>
      </c>
      <c r="V29" s="301">
        <f>V28*FICHA!$F$8</f>
        <v>7792.5080007666666</v>
      </c>
      <c r="W29" s="301">
        <f>W28*FICHA!$F$8</f>
        <v>0</v>
      </c>
      <c r="X29" s="301">
        <f>X28*FICHA!$F$8</f>
        <v>0</v>
      </c>
      <c r="Y29" s="302">
        <f>Y28*FICHA!$F$8</f>
        <v>0</v>
      </c>
      <c r="AA29" s="199">
        <f>AA28*FICHA!$F$8</f>
        <v>164241.465024</v>
      </c>
    </row>
    <row r="30" spans="2:30" ht="13.5" thickBot="1">
      <c r="M30" s="204" t="s">
        <v>257</v>
      </c>
      <c r="N30" s="247">
        <f>SUM(N28:N29)</f>
        <v>11985.743194244445</v>
      </c>
      <c r="O30" s="209">
        <f t="shared" ref="O30:Y30" si="6">SUM(O28:O29)</f>
        <v>29393.920535994446</v>
      </c>
      <c r="P30" s="209">
        <f t="shared" si="6"/>
        <v>116995.40956591944</v>
      </c>
      <c r="Q30" s="209">
        <f t="shared" si="6"/>
        <v>136803.35824743612</v>
      </c>
      <c r="R30" s="209">
        <f t="shared" si="6"/>
        <v>49201.869217511106</v>
      </c>
      <c r="S30" s="209">
        <f t="shared" si="6"/>
        <v>61210.561044786111</v>
      </c>
      <c r="T30" s="209">
        <f t="shared" si="6"/>
        <v>55034.100383419449</v>
      </c>
      <c r="U30" s="209">
        <f t="shared" si="6"/>
        <v>43025.408556144452</v>
      </c>
      <c r="V30" s="209">
        <f t="shared" si="6"/>
        <v>25086.134278544443</v>
      </c>
      <c r="W30" s="209">
        <f t="shared" si="6"/>
        <v>0</v>
      </c>
      <c r="X30" s="209">
        <f t="shared" si="6"/>
        <v>0</v>
      </c>
      <c r="Y30" s="205">
        <f t="shared" si="6"/>
        <v>0</v>
      </c>
      <c r="AA30" s="297">
        <f>SUM(AA28:AA29)</f>
        <v>528736.50502399995</v>
      </c>
      <c r="AB30" s="159" t="str">
        <f>IF(AA30=Estructuras!T60,"ok","NO")</f>
        <v>ok</v>
      </c>
      <c r="AD30" s="737">
        <f>SUM(N30:Q30)</f>
        <v>295178.43154359446</v>
      </c>
    </row>
    <row r="31" spans="2:30" ht="13.5" thickBot="1">
      <c r="AB31" s="159"/>
    </row>
    <row r="32" spans="2:30" ht="15.95" customHeight="1" thickBot="1">
      <c r="B32" s="220" t="s">
        <v>214</v>
      </c>
      <c r="N32" s="187" t="s">
        <v>217</v>
      </c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9"/>
    </row>
    <row r="33" spans="2:30" ht="15.95" customHeight="1" thickBot="1">
      <c r="B33" s="211" t="str">
        <f t="shared" ref="B33:K33" si="7">N33</f>
        <v>Mar</v>
      </c>
      <c r="C33" s="211" t="str">
        <f t="shared" si="7"/>
        <v>Abr</v>
      </c>
      <c r="D33" s="211" t="str">
        <f t="shared" si="7"/>
        <v>May</v>
      </c>
      <c r="E33" s="211" t="str">
        <f t="shared" si="7"/>
        <v>Jun</v>
      </c>
      <c r="F33" s="211" t="str">
        <f t="shared" si="7"/>
        <v>Jul</v>
      </c>
      <c r="G33" s="211" t="str">
        <f t="shared" si="7"/>
        <v>Ago</v>
      </c>
      <c r="H33" s="211" t="str">
        <f t="shared" si="7"/>
        <v>Set</v>
      </c>
      <c r="I33" s="211" t="str">
        <f t="shared" si="7"/>
        <v>Oct</v>
      </c>
      <c r="J33" s="211" t="str">
        <f t="shared" si="7"/>
        <v>Nov</v>
      </c>
      <c r="K33" s="212" t="str">
        <f t="shared" si="7"/>
        <v>Dic</v>
      </c>
      <c r="M33" s="161" t="s">
        <v>153</v>
      </c>
      <c r="N33" s="245" t="str">
        <f t="shared" ref="N33:Y33" si="8">N$7</f>
        <v>Mar</v>
      </c>
      <c r="O33" s="206" t="str">
        <f t="shared" si="8"/>
        <v>Abr</v>
      </c>
      <c r="P33" s="206" t="str">
        <f t="shared" si="8"/>
        <v>May</v>
      </c>
      <c r="Q33" s="206" t="str">
        <f t="shared" si="8"/>
        <v>Jun</v>
      </c>
      <c r="R33" s="206" t="str">
        <f t="shared" si="8"/>
        <v>Jul</v>
      </c>
      <c r="S33" s="206" t="str">
        <f t="shared" si="8"/>
        <v>Ago</v>
      </c>
      <c r="T33" s="206" t="str">
        <f t="shared" si="8"/>
        <v>Set</v>
      </c>
      <c r="U33" s="206" t="str">
        <f t="shared" si="8"/>
        <v>Oct</v>
      </c>
      <c r="V33" s="206" t="str">
        <f t="shared" si="8"/>
        <v>Nov</v>
      </c>
      <c r="W33" s="206" t="str">
        <f t="shared" si="8"/>
        <v>Dic</v>
      </c>
      <c r="X33" s="206" t="str">
        <f t="shared" si="8"/>
        <v>Ene</v>
      </c>
      <c r="Y33" s="143" t="str">
        <f t="shared" si="8"/>
        <v>Feb</v>
      </c>
      <c r="AA33" s="296" t="s">
        <v>223</v>
      </c>
      <c r="AB33" s="159"/>
    </row>
    <row r="34" spans="2:30" ht="15.95" customHeight="1">
      <c r="B34" s="228"/>
      <c r="C34" s="228"/>
      <c r="D34" s="228">
        <f>FICHA!G19/4</f>
        <v>206.25</v>
      </c>
      <c r="E34" s="228">
        <f>D34</f>
        <v>206.25</v>
      </c>
      <c r="F34" s="228"/>
      <c r="G34" s="228">
        <f>D34</f>
        <v>206.25</v>
      </c>
      <c r="H34" s="228">
        <f>D34</f>
        <v>206.25</v>
      </c>
      <c r="I34" s="228"/>
      <c r="J34" s="228">
        <f>FICHA!G20</f>
        <v>225</v>
      </c>
      <c r="K34" s="229"/>
      <c r="M34" s="5" t="str">
        <f t="shared" ref="M34:M40" si="9">M21</f>
        <v>Aplicación de fertilizantes</v>
      </c>
      <c r="N34" s="246"/>
      <c r="O34" s="207"/>
      <c r="P34" s="207">
        <f>D34*Estructuras!$Q$66</f>
        <v>78277.054166666669</v>
      </c>
      <c r="Q34" s="207">
        <f>E34*Estructuras!$Q$66</f>
        <v>78277.054166666669</v>
      </c>
      <c r="R34" s="207"/>
      <c r="S34" s="207">
        <f>G34*Estructuras!$Q$66</f>
        <v>78277.054166666669</v>
      </c>
      <c r="T34" s="207">
        <f>H34*Estructuras!$Q$66</f>
        <v>78277.054166666669</v>
      </c>
      <c r="U34" s="207"/>
      <c r="V34" s="207">
        <f>J34*Estructuras!Q67</f>
        <v>70373.3</v>
      </c>
      <c r="W34" s="207"/>
      <c r="X34" s="207"/>
      <c r="Y34" s="199"/>
      <c r="AA34" s="298">
        <f>SUM(N34:Y34)</f>
        <v>383481.51666666666</v>
      </c>
      <c r="AB34" s="159"/>
    </row>
    <row r="35" spans="2:30" ht="15.95" customHeight="1">
      <c r="B35" s="230"/>
      <c r="C35" s="230"/>
      <c r="D35" s="230">
        <f>SUM(FICHA!K16:K20)/6</f>
        <v>1.2628333333333333</v>
      </c>
      <c r="E35" s="230">
        <f>D35</f>
        <v>1.2628333333333333</v>
      </c>
      <c r="F35" s="230">
        <f t="shared" ref="F35:I35" si="10">E35</f>
        <v>1.2628333333333333</v>
      </c>
      <c r="G35" s="230">
        <f t="shared" si="10"/>
        <v>1.2628333333333333</v>
      </c>
      <c r="H35" s="230">
        <f t="shared" si="10"/>
        <v>1.2628333333333333</v>
      </c>
      <c r="I35" s="230">
        <f t="shared" si="10"/>
        <v>1.2628333333333333</v>
      </c>
      <c r="J35" s="230"/>
      <c r="K35" s="231"/>
      <c r="M35" s="201" t="str">
        <f t="shared" si="9"/>
        <v>Atomizaciones</v>
      </c>
      <c r="N35" s="202">
        <f ca="1">'R-2'!M47/9</f>
        <v>22251.187264444445</v>
      </c>
      <c r="O35" s="208">
        <f ca="1">N35</f>
        <v>22251.187264444445</v>
      </c>
      <c r="P35" s="208">
        <f t="shared" ref="P35:V35" ca="1" si="11">O35</f>
        <v>22251.187264444445</v>
      </c>
      <c r="Q35" s="208">
        <f t="shared" ca="1" si="11"/>
        <v>22251.187264444445</v>
      </c>
      <c r="R35" s="208">
        <f t="shared" ca="1" si="11"/>
        <v>22251.187264444445</v>
      </c>
      <c r="S35" s="208">
        <f t="shared" ca="1" si="11"/>
        <v>22251.187264444445</v>
      </c>
      <c r="T35" s="208">
        <f t="shared" ca="1" si="11"/>
        <v>22251.187264444445</v>
      </c>
      <c r="U35" s="208">
        <f t="shared" ca="1" si="11"/>
        <v>22251.187264444445</v>
      </c>
      <c r="V35" s="208">
        <f t="shared" ca="1" si="11"/>
        <v>22251.187264444445</v>
      </c>
      <c r="W35" s="208"/>
      <c r="X35" s="208"/>
      <c r="Y35" s="202"/>
      <c r="AA35" s="208">
        <f t="shared" ref="AA35:AA40" ca="1" si="12">SUM(N35:Y35)</f>
        <v>200260.68538000004</v>
      </c>
      <c r="AB35" s="159"/>
    </row>
    <row r="36" spans="2:30" ht="15.95" customHeight="1">
      <c r="B36" s="230"/>
      <c r="C36" s="230"/>
      <c r="D36" s="230">
        <v>0</v>
      </c>
      <c r="E36" s="230">
        <v>0</v>
      </c>
      <c r="F36" s="230"/>
      <c r="G36" s="230"/>
      <c r="H36" s="230">
        <v>0</v>
      </c>
      <c r="I36" s="230">
        <v>0</v>
      </c>
      <c r="J36" s="230"/>
      <c r="K36" s="231"/>
      <c r="M36" s="200" t="str">
        <f t="shared" si="9"/>
        <v>Arreglo de sombra</v>
      </c>
      <c r="N36" s="246"/>
      <c r="O36" s="207"/>
      <c r="P36" s="208">
        <v>0</v>
      </c>
      <c r="Q36" s="208">
        <v>0</v>
      </c>
      <c r="R36" s="207"/>
      <c r="S36" s="207"/>
      <c r="T36" s="208">
        <v>0</v>
      </c>
      <c r="U36" s="208">
        <v>0</v>
      </c>
      <c r="V36" s="207"/>
      <c r="W36" s="207"/>
      <c r="X36" s="207"/>
      <c r="Y36" s="199"/>
      <c r="AA36" s="199">
        <f t="shared" si="12"/>
        <v>0</v>
      </c>
      <c r="AB36" s="159"/>
    </row>
    <row r="37" spans="2:30" ht="15.95" customHeight="1">
      <c r="B37" s="215"/>
      <c r="C37" s="215">
        <v>0</v>
      </c>
      <c r="D37" s="222"/>
      <c r="E37" s="222"/>
      <c r="F37" s="215"/>
      <c r="G37" s="215">
        <v>0</v>
      </c>
      <c r="H37" s="215"/>
      <c r="I37" s="215"/>
      <c r="J37" s="215"/>
      <c r="K37" s="216"/>
      <c r="M37" s="201" t="str">
        <f t="shared" si="9"/>
        <v>Control manual de malezas</v>
      </c>
      <c r="N37" s="202"/>
      <c r="O37" s="208"/>
      <c r="P37" s="208"/>
      <c r="Q37" s="208">
        <f>SUM('R-2'!M49)/3</f>
        <v>0</v>
      </c>
      <c r="R37" s="208">
        <f>Q37</f>
        <v>0</v>
      </c>
      <c r="S37" s="208">
        <f>R37</f>
        <v>0</v>
      </c>
      <c r="T37" s="208"/>
      <c r="U37" s="208"/>
      <c r="V37" s="208"/>
      <c r="W37" s="208"/>
      <c r="X37" s="208"/>
      <c r="Y37" s="202"/>
      <c r="AA37" s="208">
        <f t="shared" si="12"/>
        <v>0</v>
      </c>
      <c r="AB37" s="159"/>
    </row>
    <row r="38" spans="2:30" ht="15.95" customHeight="1">
      <c r="B38" s="230"/>
      <c r="C38" s="230"/>
      <c r="D38" s="230">
        <f>FICHA!K23/3</f>
        <v>1.3333333333333333</v>
      </c>
      <c r="E38" s="230"/>
      <c r="F38" s="230"/>
      <c r="G38" s="230">
        <f>D38</f>
        <v>1.3333333333333333</v>
      </c>
      <c r="H38" s="230">
        <f>D38</f>
        <v>1.3333333333333333</v>
      </c>
      <c r="I38" s="230"/>
      <c r="J38" s="230"/>
      <c r="K38" s="231"/>
      <c r="M38" s="194" t="str">
        <f t="shared" si="9"/>
        <v>Aplicación de herbicidas</v>
      </c>
      <c r="N38" s="246"/>
      <c r="O38" s="207">
        <f>'R-2'!M50/4</f>
        <v>3839.6244799999999</v>
      </c>
      <c r="P38" s="208">
        <f>O38</f>
        <v>3839.6244799999999</v>
      </c>
      <c r="Q38" s="207"/>
      <c r="R38" s="207"/>
      <c r="S38" s="208"/>
      <c r="T38" s="208">
        <f>O38</f>
        <v>3839.6244799999999</v>
      </c>
      <c r="U38" s="207">
        <f>T38</f>
        <v>3839.6244799999999</v>
      </c>
      <c r="V38" s="207"/>
      <c r="W38" s="207"/>
      <c r="X38" s="207"/>
      <c r="Y38" s="199"/>
      <c r="AA38" s="199">
        <f t="shared" si="12"/>
        <v>15358.49792</v>
      </c>
      <c r="AB38" s="159"/>
    </row>
    <row r="39" spans="2:30" ht="15.95" customHeight="1">
      <c r="B39" s="230"/>
      <c r="C39" s="230"/>
      <c r="D39" s="230">
        <v>0</v>
      </c>
      <c r="E39" s="230">
        <v>0</v>
      </c>
      <c r="F39" s="230"/>
      <c r="G39" s="230"/>
      <c r="H39" s="230"/>
      <c r="I39" s="230"/>
      <c r="J39" s="230"/>
      <c r="K39" s="231"/>
      <c r="M39" s="201" t="str">
        <f t="shared" si="9"/>
        <v>Mantenimiento de finca</v>
      </c>
      <c r="N39" s="202"/>
      <c r="O39" s="208"/>
      <c r="P39" s="208">
        <f>SUM('R-2'!M52)/2</f>
        <v>0</v>
      </c>
      <c r="Q39" s="208">
        <f>P39</f>
        <v>0</v>
      </c>
      <c r="R39" s="208"/>
      <c r="S39" s="208"/>
      <c r="T39" s="208"/>
      <c r="U39" s="208"/>
      <c r="V39" s="208"/>
      <c r="W39" s="208"/>
      <c r="X39" s="208"/>
      <c r="Y39" s="202"/>
      <c r="AA39" s="208">
        <f t="shared" si="12"/>
        <v>0</v>
      </c>
      <c r="AB39" s="159"/>
    </row>
    <row r="40" spans="2:30" ht="15.95" customHeight="1" thickBot="1">
      <c r="B40" s="232"/>
      <c r="C40" s="232"/>
      <c r="D40" s="232">
        <f>ROUND(ROUND(FICHA!F11*FICHA!G13,0)*50%,0)</f>
        <v>125</v>
      </c>
      <c r="E40" s="232">
        <f>ROUND(FICHA!F11*FICHA!G13,0)-D40</f>
        <v>125</v>
      </c>
      <c r="F40" s="232"/>
      <c r="G40" s="232"/>
      <c r="H40" s="232"/>
      <c r="I40" s="232"/>
      <c r="J40" s="232"/>
      <c r="K40" s="233"/>
      <c r="M40" s="224" t="str">
        <f t="shared" si="9"/>
        <v>Reposición de plantas</v>
      </c>
      <c r="N40" s="252"/>
      <c r="O40" s="237"/>
      <c r="P40" s="237">
        <f>D40*FICHA!$F$12</f>
        <v>36872.3125</v>
      </c>
      <c r="Q40" s="237">
        <f>E40*FICHA!$F$12</f>
        <v>36872.3125</v>
      </c>
      <c r="R40" s="237"/>
      <c r="S40" s="237"/>
      <c r="T40" s="237"/>
      <c r="U40" s="237"/>
      <c r="V40" s="237"/>
      <c r="W40" s="237"/>
      <c r="X40" s="237"/>
      <c r="Y40" s="236"/>
      <c r="AA40" s="199">
        <f t="shared" si="12"/>
        <v>73744.625</v>
      </c>
      <c r="AB40" s="159"/>
    </row>
    <row r="41" spans="2:30" ht="15.95" customHeight="1" thickBot="1">
      <c r="M41" s="204" t="s">
        <v>215</v>
      </c>
      <c r="N41" s="247">
        <f t="shared" ref="N41:W41" ca="1" si="13">SUM(N34:N40)</f>
        <v>22251.187264444445</v>
      </c>
      <c r="O41" s="209">
        <f t="shared" ca="1" si="13"/>
        <v>26090.811744444443</v>
      </c>
      <c r="P41" s="209">
        <f t="shared" ca="1" si="13"/>
        <v>141240.17841111112</v>
      </c>
      <c r="Q41" s="209">
        <f t="shared" ca="1" si="13"/>
        <v>137400.55393111112</v>
      </c>
      <c r="R41" s="209">
        <f t="shared" ca="1" si="13"/>
        <v>22251.187264444445</v>
      </c>
      <c r="S41" s="209">
        <f t="shared" ca="1" si="13"/>
        <v>100528.24143111112</v>
      </c>
      <c r="T41" s="209">
        <f t="shared" ca="1" si="13"/>
        <v>104367.86591111112</v>
      </c>
      <c r="U41" s="209">
        <f t="shared" ca="1" si="13"/>
        <v>26090.811744444443</v>
      </c>
      <c r="V41" s="209">
        <f t="shared" ca="1" si="13"/>
        <v>92624.48726444444</v>
      </c>
      <c r="W41" s="209">
        <f t="shared" si="13"/>
        <v>0</v>
      </c>
      <c r="X41" s="209"/>
      <c r="Y41" s="205"/>
      <c r="AA41" s="297">
        <f ca="1">SUM(AA34:AA40)</f>
        <v>672845.32496666675</v>
      </c>
      <c r="AB41" s="159" t="str">
        <f ca="1">IF(ROUND(AA41,0)=ROUND(Estructuras!T64,0),"ok","NO")</f>
        <v>ok</v>
      </c>
      <c r="AC41" s="168"/>
      <c r="AD41" s="737">
        <f ca="1">SUM(N41:Q41)</f>
        <v>326982.73135111114</v>
      </c>
    </row>
    <row r="42" spans="2:30" ht="13.5" thickBot="1"/>
    <row r="43" spans="2:30" ht="15.95" customHeight="1" thickBot="1"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9"/>
    </row>
    <row r="44" spans="2:30" ht="15.95" customHeight="1" thickBot="1">
      <c r="M44" s="161" t="s">
        <v>222</v>
      </c>
      <c r="N44" s="245" t="str">
        <f t="shared" ref="N44:Y44" si="14">N$7</f>
        <v>Mar</v>
      </c>
      <c r="O44" s="206" t="str">
        <f t="shared" si="14"/>
        <v>Abr</v>
      </c>
      <c r="P44" s="206" t="str">
        <f t="shared" si="14"/>
        <v>May</v>
      </c>
      <c r="Q44" s="206" t="str">
        <f t="shared" si="14"/>
        <v>Jun</v>
      </c>
      <c r="R44" s="206" t="str">
        <f t="shared" si="14"/>
        <v>Jul</v>
      </c>
      <c r="S44" s="206" t="str">
        <f t="shared" si="14"/>
        <v>Ago</v>
      </c>
      <c r="T44" s="206" t="str">
        <f t="shared" si="14"/>
        <v>Set</v>
      </c>
      <c r="U44" s="206" t="str">
        <f t="shared" si="14"/>
        <v>Oct</v>
      </c>
      <c r="V44" s="206" t="str">
        <f t="shared" si="14"/>
        <v>Nov</v>
      </c>
      <c r="W44" s="206" t="str">
        <f t="shared" si="14"/>
        <v>Dic</v>
      </c>
      <c r="X44" s="206" t="str">
        <f t="shared" si="14"/>
        <v>Ene</v>
      </c>
      <c r="Y44" s="143" t="str">
        <f t="shared" si="14"/>
        <v>Feb</v>
      </c>
      <c r="AA44" s="296" t="s">
        <v>223</v>
      </c>
      <c r="AB44" s="159"/>
    </row>
    <row r="45" spans="2:30" ht="15.95" customHeight="1">
      <c r="M45" s="203" t="s">
        <v>221</v>
      </c>
      <c r="N45" s="246" t="str">
        <f>IF(SUM(B34,B40)=0,"",B34*Estructuras!$Q$80+B40*Estructuras!$Q$81)</f>
        <v/>
      </c>
      <c r="O45" s="207" t="str">
        <f>IF(SUM(C34,C40)=0,"",C34*Estructuras!$Q$80+C40*Estructuras!$Q$81)</f>
        <v/>
      </c>
      <c r="P45" s="207">
        <f>IF(SUM(D34,D40)=0,"",D34*Estructuras!$Q$80+D40*Estructuras!$Q$81)</f>
        <v>6180.2856249999995</v>
      </c>
      <c r="Q45" s="207">
        <f>IF(SUM(E34,E40)=0,"",E34*Estructuras!$Q$80+E40*Estructuras!$Q$81)</f>
        <v>6180.2856249999995</v>
      </c>
      <c r="R45" s="207" t="str">
        <f>IF(SUM(F34,F40)=0,"",F34*Estructuras!$Q$80+F40*Estructuras!$Q$81)</f>
        <v/>
      </c>
      <c r="S45" s="207">
        <f>IF(SUM(G34,G40)=0,"",G34*Estructuras!$Q$80+G40*Estructuras!$Q$81)</f>
        <v>2953.2731249999997</v>
      </c>
      <c r="T45" s="207">
        <f>IF(SUM(H34,H40)=0,"",H34*Estructuras!$Q$80+H40*Estructuras!$Q$81)</f>
        <v>2953.2731249999997</v>
      </c>
      <c r="U45" s="207" t="str">
        <f>IF(SUM(I34,I40)=0,"",I34*Estructuras!$Q$80+I40*Estructuras!$Q$81)</f>
        <v/>
      </c>
      <c r="V45" s="207">
        <f>IF(SUM(J34,J40)=0,"",J34*Estructuras!$Q$80+J40*Estructuras!$Q$81)</f>
        <v>3221.7525000000001</v>
      </c>
      <c r="W45" s="207" t="str">
        <f>IF(SUM(K34,K40)=0,"",K34*Estructuras!$Q$80+K40*Estructuras!$Q$81)</f>
        <v/>
      </c>
      <c r="X45" s="207"/>
      <c r="Y45" s="199"/>
      <c r="AA45" s="298">
        <f>SUM(N45:Y45)</f>
        <v>21488.87</v>
      </c>
    </row>
    <row r="46" spans="2:30" ht="15.95" customHeight="1">
      <c r="M46" s="201" t="s">
        <v>262</v>
      </c>
      <c r="N46" s="202">
        <f>IF(N58=0,"",SUM(Estructuras!$T$86:$T$87)*CRONO2!N58/CRONO2!$AA$58)</f>
        <v>11284.069218661734</v>
      </c>
      <c r="O46" s="208">
        <f>IF(O58=0,"",SUM(Estructuras!$T$86:$T$87)*CRONO2!O58/CRONO2!$AA$58)</f>
        <v>2.562248522953519</v>
      </c>
      <c r="P46" s="208">
        <f>IF(P58=0,"",SUM(Estructuras!$T$86:$T$87)*CRONO2!P58/CRONO2!$AA$58)</f>
        <v>3.5502670821833227</v>
      </c>
      <c r="Q46" s="208">
        <f>IF(Q58=0,"",SUM(Estructuras!$T$86:$T$87)*CRONO2!Q58/CRONO2!$AA$58)</f>
        <v>15.424606701689124</v>
      </c>
      <c r="R46" s="208">
        <f>IF(R58=0,"",SUM(Estructuras!$T$86:$T$87)*CRONO2!R58/CRONO2!$AA$58)</f>
        <v>171.97540332432797</v>
      </c>
      <c r="S46" s="208">
        <f>IF(S58=0,"",SUM(Estructuras!$T$86:$T$87)*CRONO2!S58/CRONO2!$AA$58)</f>
        <v>503.26540240407149</v>
      </c>
      <c r="T46" s="208">
        <f>IF(T58=0,"",SUM(Estructuras!$T$86:$T$87)*CRONO2!T58/CRONO2!$AA$58)</f>
        <v>2316.3420589808111</v>
      </c>
      <c r="U46" s="208">
        <f>IF(U58=0,"",SUM(Estructuras!$T$86:$T$87)*CRONO2!U58/CRONO2!$AA$58)</f>
        <v>15350.4012992797</v>
      </c>
      <c r="V46" s="208">
        <f>IF(V58=0,"",SUM(Estructuras!$T$86:$T$87)*CRONO2!V58/CRONO2!$AA$58)</f>
        <v>47999.146368874965</v>
      </c>
      <c r="W46" s="208">
        <f>IF(W58=0,"",SUM(Estructuras!$T$86:$T$87)*CRONO2!W58/CRONO2!$AA$58)</f>
        <v>88322.038489576371</v>
      </c>
      <c r="X46" s="208">
        <f>IF(X58=0,"",SUM(Estructuras!$T$86:$T$87)*CRONO2!X58/CRONO2!$AA$58)</f>
        <v>87031.853185595683</v>
      </c>
      <c r="Y46" s="202">
        <f>IF(Y58=0,"",SUM(Estructuras!$T$86:$T$87)*CRONO2!Y58/CRONO2!$AA$58)</f>
        <v>36140.168250995499</v>
      </c>
      <c r="AA46" s="208">
        <f>SUM(N46:Y46)</f>
        <v>289140.79679999995</v>
      </c>
    </row>
    <row r="47" spans="2:30" ht="15.95" customHeight="1">
      <c r="M47" s="200" t="s">
        <v>218</v>
      </c>
      <c r="N47" s="246">
        <f>Estructuras!T90/12</f>
        <v>2168.4579195229162</v>
      </c>
      <c r="O47" s="207">
        <f>N47</f>
        <v>2168.4579195229162</v>
      </c>
      <c r="P47" s="208">
        <f t="shared" ref="P47:Y47" si="15">O47</f>
        <v>2168.4579195229162</v>
      </c>
      <c r="Q47" s="208">
        <f t="shared" si="15"/>
        <v>2168.4579195229162</v>
      </c>
      <c r="R47" s="207">
        <f t="shared" si="15"/>
        <v>2168.4579195229162</v>
      </c>
      <c r="S47" s="207">
        <f t="shared" si="15"/>
        <v>2168.4579195229162</v>
      </c>
      <c r="T47" s="208">
        <f t="shared" si="15"/>
        <v>2168.4579195229162</v>
      </c>
      <c r="U47" s="208">
        <f t="shared" si="15"/>
        <v>2168.4579195229162</v>
      </c>
      <c r="V47" s="207">
        <f t="shared" si="15"/>
        <v>2168.4579195229162</v>
      </c>
      <c r="W47" s="207">
        <f t="shared" si="15"/>
        <v>2168.4579195229162</v>
      </c>
      <c r="X47" s="207">
        <f t="shared" si="15"/>
        <v>2168.4579195229162</v>
      </c>
      <c r="Y47" s="199">
        <f t="shared" si="15"/>
        <v>2168.4579195229162</v>
      </c>
      <c r="AA47" s="199">
        <f t="shared" ref="AA47:AA49" si="16">SUM(N47:Y47)</f>
        <v>26021.495034274994</v>
      </c>
    </row>
    <row r="48" spans="2:30" ht="15.95" customHeight="1">
      <c r="M48" s="201" t="s">
        <v>43</v>
      </c>
      <c r="N48" s="202"/>
      <c r="O48" s="208">
        <f>Estructuras!T91/6</f>
        <v>19431.85168572333</v>
      </c>
      <c r="P48" s="208">
        <f>O48</f>
        <v>19431.85168572333</v>
      </c>
      <c r="Q48" s="208">
        <f t="shared" ref="Q48:T48" si="17">P48</f>
        <v>19431.85168572333</v>
      </c>
      <c r="R48" s="208">
        <f t="shared" si="17"/>
        <v>19431.85168572333</v>
      </c>
      <c r="S48" s="208">
        <f t="shared" si="17"/>
        <v>19431.85168572333</v>
      </c>
      <c r="T48" s="208">
        <f t="shared" si="17"/>
        <v>19431.85168572333</v>
      </c>
      <c r="U48" s="208"/>
      <c r="V48" s="208"/>
      <c r="W48" s="208"/>
      <c r="X48" s="208"/>
      <c r="Y48" s="202"/>
      <c r="AA48" s="208">
        <f>SUM(N48:Y48)</f>
        <v>116591.11011433999</v>
      </c>
    </row>
    <row r="49" spans="2:29" ht="13.5" thickBot="1">
      <c r="M49" s="194" t="s">
        <v>150</v>
      </c>
      <c r="N49" s="246">
        <f>Estructuras!T92/4</f>
        <v>12632.1525</v>
      </c>
      <c r="O49" s="207"/>
      <c r="P49" s="208"/>
      <c r="Q49" s="207">
        <f>$N$49</f>
        <v>12632.1525</v>
      </c>
      <c r="R49" s="207"/>
      <c r="S49" s="208"/>
      <c r="T49" s="208">
        <f>$N$49</f>
        <v>12632.1525</v>
      </c>
      <c r="U49" s="207"/>
      <c r="V49" s="207"/>
      <c r="W49" s="207">
        <f>$N$49</f>
        <v>12632.1525</v>
      </c>
      <c r="X49" s="207"/>
      <c r="Y49" s="199"/>
      <c r="AA49" s="199">
        <f t="shared" si="16"/>
        <v>50528.61</v>
      </c>
    </row>
    <row r="50" spans="2:29" ht="13.5" thickBot="1">
      <c r="M50" s="204" t="s">
        <v>219</v>
      </c>
      <c r="N50" s="247">
        <f t="shared" ref="N50:Y50" si="18">SUM(N45:N49)</f>
        <v>26084.679638184651</v>
      </c>
      <c r="O50" s="209">
        <f t="shared" si="18"/>
        <v>21602.8718537692</v>
      </c>
      <c r="P50" s="209">
        <f t="shared" si="18"/>
        <v>27784.145497328427</v>
      </c>
      <c r="Q50" s="209">
        <f t="shared" si="18"/>
        <v>40428.17233694793</v>
      </c>
      <c r="R50" s="209">
        <f t="shared" si="18"/>
        <v>21772.285008570572</v>
      </c>
      <c r="S50" s="209">
        <f t="shared" si="18"/>
        <v>25056.848132650317</v>
      </c>
      <c r="T50" s="209">
        <f t="shared" si="18"/>
        <v>39502.077289227062</v>
      </c>
      <c r="U50" s="209">
        <f t="shared" si="18"/>
        <v>17518.859218802616</v>
      </c>
      <c r="V50" s="209">
        <f t="shared" si="18"/>
        <v>53389.356788397883</v>
      </c>
      <c r="W50" s="209">
        <f t="shared" si="18"/>
        <v>103122.64890909928</v>
      </c>
      <c r="X50" s="209">
        <f t="shared" si="18"/>
        <v>89200.311105118599</v>
      </c>
      <c r="Y50" s="205">
        <f t="shared" si="18"/>
        <v>38308.626170518415</v>
      </c>
      <c r="AA50" s="297">
        <f>SUM(AA45:AA49)</f>
        <v>503770.8819486149</v>
      </c>
      <c r="AB50" s="159" t="str">
        <f>IF(AA50=SUM(Estructuras!T79,Estructuras!T85,Estructuras!T89),"ok","NO")</f>
        <v>ok</v>
      </c>
    </row>
    <row r="51" spans="2:29" ht="13.5" thickBot="1"/>
    <row r="52" spans="2:29" ht="13.5" thickBot="1">
      <c r="M52" s="225" t="s">
        <v>258</v>
      </c>
      <c r="N52" s="248">
        <f t="shared" ref="N52:Y52" ca="1" si="19">SUM(N30,N41,N50)</f>
        <v>60321.610096873541</v>
      </c>
      <c r="O52" s="226">
        <f t="shared" ca="1" si="19"/>
        <v>77087.604134208086</v>
      </c>
      <c r="P52" s="226">
        <f t="shared" ca="1" si="19"/>
        <v>286019.73347435897</v>
      </c>
      <c r="Q52" s="226">
        <f t="shared" ca="1" si="19"/>
        <v>314632.08451549517</v>
      </c>
      <c r="R52" s="226">
        <f t="shared" ca="1" si="19"/>
        <v>93225.341490526116</v>
      </c>
      <c r="S52" s="226">
        <f t="shared" ca="1" si="19"/>
        <v>186795.65060854756</v>
      </c>
      <c r="T52" s="226">
        <f t="shared" ca="1" si="19"/>
        <v>198904.04358375765</v>
      </c>
      <c r="U52" s="226">
        <f t="shared" ca="1" si="19"/>
        <v>86635.079519391526</v>
      </c>
      <c r="V52" s="226">
        <f t="shared" ca="1" si="19"/>
        <v>171099.97833138675</v>
      </c>
      <c r="W52" s="226">
        <f t="shared" si="19"/>
        <v>103122.64890909928</v>
      </c>
      <c r="X52" s="226">
        <f t="shared" si="19"/>
        <v>89200.311105118599</v>
      </c>
      <c r="Y52" s="227">
        <f t="shared" si="19"/>
        <v>38308.626170518415</v>
      </c>
      <c r="AA52" s="307">
        <f ca="1">SUM(N52:Y52)</f>
        <v>1705352.7119392818</v>
      </c>
      <c r="AB52" s="159" t="str">
        <f ca="1">IF(AA52=SUM(Estructuras!T94),"ok","NO")</f>
        <v>ok</v>
      </c>
    </row>
    <row r="53" spans="2:29" ht="13.5" thickBot="1">
      <c r="B53" s="305" t="s">
        <v>259</v>
      </c>
      <c r="M53" s="203" t="s">
        <v>212</v>
      </c>
      <c r="N53" s="249">
        <f>CRONO1!N58</f>
        <v>501.14129032258057</v>
      </c>
      <c r="O53" s="221">
        <f>CRONO1!O58</f>
        <v>505.09783333333331</v>
      </c>
      <c r="P53" s="221">
        <f>CRONO1!P58</f>
        <v>506.21645161290314</v>
      </c>
      <c r="Q53" s="221">
        <f>CRONO1!Q58</f>
        <v>505.73649999999998</v>
      </c>
      <c r="R53" s="221">
        <f>CRONO1!R58</f>
        <v>504.49983870967742</v>
      </c>
      <c r="S53" s="221">
        <f>CRONO1!S58</f>
        <v>504.69064516129043</v>
      </c>
      <c r="T53" s="221">
        <f>CRONO1!T58</f>
        <v>504.53466666666657</v>
      </c>
      <c r="U53" s="221">
        <f>CRONO1!U58</f>
        <v>503.09403225806471</v>
      </c>
      <c r="V53" s="221">
        <f>CRONO1!V58</f>
        <v>499.608</v>
      </c>
      <c r="W53" s="221">
        <f>CRONO1!W58</f>
        <v>494.79919354838711</v>
      </c>
      <c r="X53" s="221">
        <f>CRONO1!X58</f>
        <v>495.13500000000005</v>
      </c>
      <c r="Y53" s="167">
        <f>CRONO1!Y58</f>
        <v>484.16964285714283</v>
      </c>
      <c r="AA53" s="167">
        <f ca="1">AA52/AA54</f>
        <v>502.81210029387097</v>
      </c>
      <c r="AB53" s="159"/>
    </row>
    <row r="54" spans="2:29" ht="13.5" thickBot="1">
      <c r="M54" s="225" t="s">
        <v>263</v>
      </c>
      <c r="N54" s="248">
        <f t="shared" ref="N54:Y54" ca="1" si="20">N52/N53</f>
        <v>120.36846945508124</v>
      </c>
      <c r="O54" s="226">
        <f t="shared" ca="1" si="20"/>
        <v>152.61915424478775</v>
      </c>
      <c r="P54" s="226">
        <f t="shared" ca="1" si="20"/>
        <v>565.01469393783032</v>
      </c>
      <c r="Q54" s="226">
        <f t="shared" ca="1" si="20"/>
        <v>622.12651156381867</v>
      </c>
      <c r="R54" s="226">
        <f t="shared" ca="1" si="20"/>
        <v>184.78765370661327</v>
      </c>
      <c r="S54" s="226">
        <f t="shared" ca="1" si="20"/>
        <v>370.11910642578067</v>
      </c>
      <c r="T54" s="226">
        <f t="shared" ca="1" si="20"/>
        <v>394.23265976521805</v>
      </c>
      <c r="U54" s="226">
        <f t="shared" ca="1" si="20"/>
        <v>172.20454619694556</v>
      </c>
      <c r="V54" s="226">
        <f t="shared" ca="1" si="20"/>
        <v>342.46845192908592</v>
      </c>
      <c r="W54" s="226">
        <f t="shared" si="20"/>
        <v>208.41313052587822</v>
      </c>
      <c r="X54" s="226">
        <f t="shared" si="20"/>
        <v>180.15351592014014</v>
      </c>
      <c r="Y54" s="227">
        <f t="shared" si="20"/>
        <v>79.122321557490963</v>
      </c>
      <c r="AA54" s="303">
        <f ca="1">SUM(N54:Y54)</f>
        <v>3391.6302152286712</v>
      </c>
    </row>
    <row r="55" spans="2:29">
      <c r="AB55" s="159"/>
    </row>
    <row r="56" spans="2:29">
      <c r="AA56" s="199"/>
    </row>
    <row r="57" spans="2:29">
      <c r="L57" s="210"/>
      <c r="M57" s="210"/>
      <c r="N57" s="731">
        <f>N58/$AA$58</f>
        <v>3.9026209180944384E-2</v>
      </c>
      <c r="O57" s="731">
        <f t="shared" ref="O57:Y57" si="21">O58/$AA$58</f>
        <v>8.861594597893556E-6</v>
      </c>
      <c r="P57" s="731">
        <f t="shared" si="21"/>
        <v>1.2278679181475239E-5</v>
      </c>
      <c r="Q57" s="731">
        <f t="shared" si="21"/>
        <v>5.334635192403649E-5</v>
      </c>
      <c r="R57" s="731">
        <f t="shared" si="21"/>
        <v>5.9478083074967841E-4</v>
      </c>
      <c r="S57" s="731">
        <f t="shared" si="21"/>
        <v>1.7405548022757314E-3</v>
      </c>
      <c r="T57" s="731">
        <f t="shared" si="21"/>
        <v>8.0111215180161365E-3</v>
      </c>
      <c r="U57" s="731">
        <f t="shared" si="21"/>
        <v>5.3089710857709374E-2</v>
      </c>
      <c r="V57" s="731">
        <f t="shared" si="21"/>
        <v>0.16600613576532469</v>
      </c>
      <c r="W57" s="731">
        <f t="shared" si="21"/>
        <v>0.3054637722073828</v>
      </c>
      <c r="X57" s="731">
        <f t="shared" si="21"/>
        <v>0.3010016370875398</v>
      </c>
      <c r="Y57" s="731">
        <f t="shared" si="21"/>
        <v>0.12499159112435392</v>
      </c>
      <c r="Z57" s="210"/>
    </row>
    <row r="58" spans="2:29">
      <c r="L58" s="210"/>
      <c r="M58" s="211" t="s">
        <v>496</v>
      </c>
      <c r="N58" s="308">
        <v>72665.528124999997</v>
      </c>
      <c r="O58" s="309">
        <v>16.5</v>
      </c>
      <c r="P58" s="309">
        <v>22.862500000000001</v>
      </c>
      <c r="Q58" s="309">
        <v>99.329166666666666</v>
      </c>
      <c r="R58" s="309">
        <v>1107.4625000000001</v>
      </c>
      <c r="S58" s="309">
        <v>3240.8562499999998</v>
      </c>
      <c r="T58" s="309">
        <v>14916.446875000001</v>
      </c>
      <c r="U58" s="309">
        <v>98851.309374999997</v>
      </c>
      <c r="V58" s="309">
        <v>309098.00824999996</v>
      </c>
      <c r="W58" s="309">
        <v>568763.57700000005</v>
      </c>
      <c r="X58" s="309">
        <v>560455.22699999996</v>
      </c>
      <c r="Y58" s="310">
        <v>232730.26437500003</v>
      </c>
      <c r="Z58" s="199"/>
      <c r="AA58" s="311">
        <f>SUM(N58:Y58)</f>
        <v>1861967.3714166668</v>
      </c>
      <c r="AB58" s="732" t="s">
        <v>495</v>
      </c>
    </row>
    <row r="59" spans="2:29">
      <c r="L59" s="210"/>
      <c r="M59" s="211" t="s">
        <v>498</v>
      </c>
      <c r="N59" s="308">
        <f ca="1">SUM(CRONO1!N59,CRONO2!N54)</f>
        <v>878.55636284767354</v>
      </c>
      <c r="O59" s="309">
        <f ca="1">SUM(CRONO1!O59,CRONO2!O54)</f>
        <v>1629.6600965068901</v>
      </c>
      <c r="P59" s="309">
        <f ca="1">SUM(CRONO1!P59,CRONO2!P54)</f>
        <v>3434.7525353307828</v>
      </c>
      <c r="Q59" s="309">
        <f ca="1">SUM(CRONO1!Q59,CRONO2!Q54)</f>
        <v>3273.4829497915907</v>
      </c>
      <c r="R59" s="309">
        <f ca="1">SUM(CRONO1!R59,CRONO2!R54)</f>
        <v>548.00140398361827</v>
      </c>
      <c r="S59" s="309">
        <f ca="1">SUM(CRONO1!S59,CRONO2!S54)</f>
        <v>670.88118315229235</v>
      </c>
      <c r="T59" s="309">
        <f ca="1">SUM(CRONO1!T59,CRONO2!T54)</f>
        <v>837.39763240314596</v>
      </c>
      <c r="U59" s="309">
        <f ca="1">SUM(CRONO1!U59,CRONO2!U54)</f>
        <v>235.3190381926857</v>
      </c>
      <c r="V59" s="309">
        <f ca="1">SUM(CRONO1!V59,CRONO2!V54)</f>
        <v>507.44702983274715</v>
      </c>
      <c r="W59" s="309">
        <f>SUM(CRONO1!W59,CRONO2!W54)</f>
        <v>238.3254881297423</v>
      </c>
      <c r="X59" s="309">
        <f>SUM(CRONO1!X59,CRONO2!X54)</f>
        <v>184.53304457297807</v>
      </c>
      <c r="Y59" s="310">
        <f>SUM(CRONO1!Y59,CRONO2!Y54)</f>
        <v>83.601036717587718</v>
      </c>
      <c r="Z59" s="199"/>
      <c r="AA59" s="311">
        <f ca="1">SUM(N59:Y59)</f>
        <v>12521.957801461735</v>
      </c>
      <c r="AB59" s="732"/>
      <c r="AC59" s="733">
        <f ca="1">AA60/AA59</f>
        <v>504.46570161248991</v>
      </c>
    </row>
    <row r="60" spans="2:29">
      <c r="L60" s="210"/>
      <c r="M60" s="211" t="s">
        <v>494</v>
      </c>
      <c r="N60" s="308">
        <f ca="1">SUM(N52,CRONO1!N57)</f>
        <v>440280.8692985964</v>
      </c>
      <c r="O60" s="309">
        <f ca="1">SUM(O52,CRONO1!O57)</f>
        <v>823137.78381542105</v>
      </c>
      <c r="P60" s="309">
        <f ca="1">SUM(P52,CRONO1!P57)</f>
        <v>1738728.2406035718</v>
      </c>
      <c r="Q60" s="309">
        <f ca="1">SUM(Q52,CRONO1!Q57)</f>
        <v>1655519.8098372747</v>
      </c>
      <c r="R60" s="309">
        <f ca="1">SUM(R52,CRONO1!R57)</f>
        <v>276466.61992241215</v>
      </c>
      <c r="S60" s="309">
        <f ca="1">SUM(S52,CRONO1!S57)</f>
        <v>338587.45715170028</v>
      </c>
      <c r="T60" s="309">
        <f ca="1">SUM(T52,CRONO1!T57)</f>
        <v>422496.13533197704</v>
      </c>
      <c r="U60" s="309">
        <f ca="1">SUM(U52,CRONO1!U57)</f>
        <v>118387.60379144778</v>
      </c>
      <c r="V60" s="309">
        <f ca="1">SUM(V52,CRONO1!V57)</f>
        <v>253524.59568067914</v>
      </c>
      <c r="W60" s="309">
        <f>SUM(W52,CRONO1!W57)</f>
        <v>117923.2593286222</v>
      </c>
      <c r="X60" s="309">
        <f>SUM(X52,CRONO1!X57)</f>
        <v>91368.769024641515</v>
      </c>
      <c r="Y60" s="310">
        <f>SUM(Y52,CRONO1!Y57)</f>
        <v>40477.084090041331</v>
      </c>
      <c r="Z60" s="199"/>
      <c r="AA60" s="311">
        <f ca="1">SUM(N60:Y60)</f>
        <v>6316898.2278763857</v>
      </c>
      <c r="AB60" s="732" t="s">
        <v>497</v>
      </c>
    </row>
    <row r="61" spans="2:29">
      <c r="L61" s="210"/>
      <c r="M61" s="210"/>
      <c r="N61" s="731">
        <f ca="1">N60/$AA$60</f>
        <v>6.9698901805263058E-2</v>
      </c>
      <c r="O61" s="731">
        <f t="shared" ref="O61:Y61" ca="1" si="22">O60/$AA$60</f>
        <v>0.13030727330431338</v>
      </c>
      <c r="P61" s="731">
        <f t="shared" ca="1" si="22"/>
        <v>0.27525031714625192</v>
      </c>
      <c r="Q61" s="731">
        <f t="shared" ca="1" si="22"/>
        <v>0.26207796138482781</v>
      </c>
      <c r="R61" s="731">
        <f t="shared" ca="1" si="22"/>
        <v>4.376619821138937E-2</v>
      </c>
      <c r="S61" s="731">
        <f t="shared" ca="1" si="22"/>
        <v>5.3600271040859647E-2</v>
      </c>
      <c r="T61" s="731">
        <f t="shared" ca="1" si="22"/>
        <v>6.6883479848940317E-2</v>
      </c>
      <c r="U61" s="731">
        <f t="shared" ca="1" si="22"/>
        <v>1.8741413826964141E-2</v>
      </c>
      <c r="V61" s="731">
        <f t="shared" ca="1" si="22"/>
        <v>4.0134348620954274E-2</v>
      </c>
      <c r="W61" s="731">
        <f t="shared" ca="1" si="22"/>
        <v>1.8667905524934445E-2</v>
      </c>
      <c r="X61" s="731">
        <f t="shared" ca="1" si="22"/>
        <v>1.4464182535256368E-2</v>
      </c>
      <c r="Y61" s="731">
        <f t="shared" ca="1" si="22"/>
        <v>6.4077467500452219E-3</v>
      </c>
      <c r="Z61" s="210"/>
    </row>
    <row r="62" spans="2:29"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</row>
    <row r="63" spans="2:29"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</row>
    <row r="64" spans="2:29"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</row>
    <row r="65" spans="12:26"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</row>
    <row r="66" spans="12:26"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</row>
    <row r="67" spans="12:26"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</row>
    <row r="68" spans="12:26"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</row>
    <row r="69" spans="12:26"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</row>
    <row r="70" spans="12:26"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</row>
    <row r="71" spans="12:26"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</row>
    <row r="72" spans="12:26"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</row>
  </sheetData>
  <sheetProtection algorithmName="SHA-512" hashValue="xfTlYPTHvrqoXj7EWiFE1Z7oFSlEsh3FJlwTMZjHrHRX9WX3mODrqdEfqwvD13boeEsGf4Sdr3Cv8jhPySxqTg==" saltValue="39U4bGLaNcrHAk+3inIFfg==" spinCount="100000" sheet="1" objects="1" scenarios="1"/>
  <printOptions horizontalCentered="1" verticalCentered="1"/>
  <pageMargins left="1.2598425196850394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4256-562D-4BA7-BCE9-9F7BBDC0ACAB}">
  <sheetPr>
    <tabColor theme="1"/>
  </sheetPr>
  <dimension ref="B1:AL137"/>
  <sheetViews>
    <sheetView topLeftCell="F1" zoomScale="90" zoomScaleNormal="90" workbookViewId="0">
      <pane ySplit="5" topLeftCell="A6" activePane="bottomLeft" state="frozen"/>
      <selection pane="bottomLeft" activeCell="Z1" sqref="Z1"/>
    </sheetView>
  </sheetViews>
  <sheetFormatPr baseColWidth="10" defaultColWidth="10.85546875" defaultRowHeight="12"/>
  <cols>
    <col min="1" max="1" width="2.28515625" style="578" customWidth="1"/>
    <col min="2" max="2" width="20.85546875" style="578" customWidth="1"/>
    <col min="3" max="3" width="10.85546875" style="579"/>
    <col min="4" max="4" width="2.28515625" style="578" customWidth="1"/>
    <col min="5" max="24" width="10.140625" style="578" customWidth="1"/>
    <col min="25" max="25" width="4.28515625" style="578" customWidth="1"/>
    <col min="26" max="26" width="4.5703125" style="578" customWidth="1"/>
    <col min="27" max="27" width="2.5703125" style="578" customWidth="1"/>
    <col min="28" max="28" width="22.140625" style="578" customWidth="1"/>
    <col min="29" max="29" width="10.28515625" style="578" customWidth="1"/>
    <col min="30" max="30" width="12.42578125" style="578" customWidth="1"/>
    <col min="31" max="31" width="4" style="578" customWidth="1"/>
    <col min="32" max="32" width="12.42578125" style="578" customWidth="1"/>
    <col min="33" max="33" width="2.28515625" style="578" customWidth="1"/>
    <col min="34" max="34" width="6.28515625" style="578" customWidth="1"/>
    <col min="35" max="16384" width="10.85546875" style="578"/>
  </cols>
  <sheetData>
    <row r="1" spans="2:38" ht="23.1" customHeight="1">
      <c r="Z1" s="703">
        <v>1</v>
      </c>
      <c r="AB1" s="706" t="str">
        <f>IF(Z1=1,"ESTÁNDAR","SIMULANDO")</f>
        <v>ESTÁNDAR</v>
      </c>
    </row>
    <row r="2" spans="2:38" ht="6.75" customHeight="1"/>
    <row r="3" spans="2:38" ht="23.1" customHeight="1">
      <c r="B3" s="612" t="s">
        <v>490</v>
      </c>
      <c r="AB3" s="603" t="s">
        <v>473</v>
      </c>
      <c r="AC3" s="603"/>
      <c r="AD3" s="702">
        <v>2025</v>
      </c>
      <c r="AF3" s="708">
        <v>2026</v>
      </c>
    </row>
    <row r="4" spans="2:38" ht="12.75" thickBot="1"/>
    <row r="5" spans="2:38" ht="15.95" customHeight="1" thickTop="1">
      <c r="B5" s="576" t="s">
        <v>449</v>
      </c>
      <c r="C5" s="577" t="s">
        <v>425</v>
      </c>
      <c r="E5" s="577" t="s">
        <v>424</v>
      </c>
      <c r="F5" s="577" t="str">
        <f t="shared" ref="F5:G5" si="0">_xlfn.CONCAT(MID(E5,1,4)+1,"-",MID(MID(E5,1,4)+2,3,2))</f>
        <v>2007-08</v>
      </c>
      <c r="G5" s="577" t="str">
        <f t="shared" si="0"/>
        <v>2008-09</v>
      </c>
      <c r="H5" s="577" t="str">
        <f t="shared" ref="H5" si="1">_xlfn.CONCAT(MID(G5,1,4)+1,"-",MID(MID(G5,1,4)+2,3,2))</f>
        <v>2009-10</v>
      </c>
      <c r="I5" s="577" t="str">
        <f t="shared" ref="I5" si="2">_xlfn.CONCAT(MID(H5,1,4)+1,"-",MID(MID(H5,1,4)+2,3,2))</f>
        <v>2010-11</v>
      </c>
      <c r="J5" s="577" t="str">
        <f t="shared" ref="J5" si="3">_xlfn.CONCAT(MID(I5,1,4)+1,"-",MID(MID(I5,1,4)+2,3,2))</f>
        <v>2011-12</v>
      </c>
      <c r="K5" s="577" t="str">
        <f t="shared" ref="K5" si="4">_xlfn.CONCAT(MID(J5,1,4)+1,"-",MID(MID(J5,1,4)+2,3,2))</f>
        <v>2012-13</v>
      </c>
      <c r="L5" s="577" t="str">
        <f t="shared" ref="L5" si="5">_xlfn.CONCAT(MID(K5,1,4)+1,"-",MID(MID(K5,1,4)+2,3,2))</f>
        <v>2013-14</v>
      </c>
      <c r="M5" s="577" t="str">
        <f t="shared" ref="M5" si="6">_xlfn.CONCAT(MID(L5,1,4)+1,"-",MID(MID(L5,1,4)+2,3,2))</f>
        <v>2014-15</v>
      </c>
      <c r="N5" s="577" t="str">
        <f t="shared" ref="N5" si="7">_xlfn.CONCAT(MID(M5,1,4)+1,"-",MID(MID(M5,1,4)+2,3,2))</f>
        <v>2015-16</v>
      </c>
      <c r="O5" s="577" t="str">
        <f t="shared" ref="O5" si="8">_xlfn.CONCAT(MID(N5,1,4)+1,"-",MID(MID(N5,1,4)+2,3,2))</f>
        <v>2016-17</v>
      </c>
      <c r="P5" s="577" t="str">
        <f t="shared" ref="P5" si="9">_xlfn.CONCAT(MID(O5,1,4)+1,"-",MID(MID(O5,1,4)+2,3,2))</f>
        <v>2017-18</v>
      </c>
      <c r="Q5" s="577" t="str">
        <f t="shared" ref="Q5" si="10">_xlfn.CONCAT(MID(P5,1,4)+1,"-",MID(MID(P5,1,4)+2,3,2))</f>
        <v>2018-19</v>
      </c>
      <c r="R5" s="577" t="str">
        <f t="shared" ref="R5" si="11">_xlfn.CONCAT(MID(Q5,1,4)+1,"-",MID(MID(Q5,1,4)+2,3,2))</f>
        <v>2019-20</v>
      </c>
      <c r="S5" s="577" t="str">
        <f t="shared" ref="S5" si="12">_xlfn.CONCAT(MID(R5,1,4)+1,"-",MID(MID(R5,1,4)+2,3,2))</f>
        <v>2020-21</v>
      </c>
      <c r="T5" s="577" t="str">
        <f t="shared" ref="T5" si="13">_xlfn.CONCAT(MID(S5,1,4)+1,"-",MID(MID(S5,1,4)+2,3,2))</f>
        <v>2021-22</v>
      </c>
      <c r="U5" s="577" t="str">
        <f t="shared" ref="U5:X5" si="14">_xlfn.CONCAT(MID(T5,1,4)+1,"-",MID(MID(T5,1,4)+2,3,2))</f>
        <v>2022-23</v>
      </c>
      <c r="V5" s="577" t="str">
        <f t="shared" si="14"/>
        <v>2023-24</v>
      </c>
      <c r="W5" s="577" t="str">
        <f t="shared" si="14"/>
        <v>2024-25</v>
      </c>
      <c r="X5" s="577" t="str">
        <f t="shared" si="14"/>
        <v>2025-26</v>
      </c>
      <c r="Z5" s="596"/>
      <c r="AB5" s="576" t="s">
        <v>449</v>
      </c>
      <c r="AC5" s="577" t="s">
        <v>425</v>
      </c>
      <c r="AD5" s="577" t="str">
        <f>_xlfn.CONCAT(AD3,"-",MID(AD3+1,3,2))</f>
        <v>2025-26</v>
      </c>
      <c r="AF5" s="707" t="str">
        <f>IF(Z1=1,"Estándar",_xlfn.CONCAT(AF3,"-",MID(AF3+1,3,2)))</f>
        <v>Estándar</v>
      </c>
    </row>
    <row r="6" spans="2:38" ht="12.75" thickBot="1">
      <c r="Z6" s="597"/>
      <c r="AC6" s="579"/>
    </row>
    <row r="7" spans="2:38" ht="12.75" thickBot="1">
      <c r="B7" s="578" t="s">
        <v>491</v>
      </c>
      <c r="C7" s="579" t="s">
        <v>159</v>
      </c>
      <c r="E7" s="580">
        <v>658.98472915152479</v>
      </c>
      <c r="F7" s="580">
        <v>733.17556660578362</v>
      </c>
      <c r="G7" s="580">
        <v>788.38112271731063</v>
      </c>
      <c r="H7" s="580">
        <v>896.04276737376335</v>
      </c>
      <c r="I7" s="580">
        <v>972.66714968564997</v>
      </c>
      <c r="J7" s="580">
        <v>1045.5056227675379</v>
      </c>
      <c r="K7" s="580">
        <v>1208.6677439154723</v>
      </c>
      <c r="L7" s="580">
        <v>1150.9642072269078</v>
      </c>
      <c r="M7" s="580">
        <v>1219.1903186822487</v>
      </c>
      <c r="N7" s="580">
        <v>1246.5590160853467</v>
      </c>
      <c r="O7" s="580">
        <v>1276.6204667475024</v>
      </c>
      <c r="P7" s="580">
        <v>1316.4949234146629</v>
      </c>
      <c r="Q7" s="580">
        <v>1327.3561442705666</v>
      </c>
      <c r="R7" s="580">
        <v>1363.2434812544118</v>
      </c>
      <c r="S7" s="580">
        <v>1361.5348317740584</v>
      </c>
      <c r="T7" s="580">
        <v>1439.4773521790316</v>
      </c>
      <c r="U7" s="580">
        <v>1516.2068201953307</v>
      </c>
      <c r="V7" s="580">
        <v>1572.9800744774234</v>
      </c>
      <c r="W7" s="580">
        <v>1610.6949125505146</v>
      </c>
      <c r="X7" s="580">
        <v>1627.2112058787425</v>
      </c>
      <c r="Z7" s="597"/>
      <c r="AB7" s="578" t="s">
        <v>491</v>
      </c>
      <c r="AC7" s="579" t="s">
        <v>159</v>
      </c>
      <c r="AD7" s="580">
        <f>ROUND(LOOKUP(MID($AD$3,1,4),$E$132:$Y$132,E7:Y7),2)</f>
        <v>1627.21</v>
      </c>
      <c r="AF7" s="738">
        <v>1675.25</v>
      </c>
      <c r="AH7" s="604" t="s">
        <v>275</v>
      </c>
      <c r="AI7" s="605" t="s">
        <v>475</v>
      </c>
      <c r="AL7" s="588"/>
    </row>
    <row r="8" spans="2:38" ht="12.75" thickBot="1">
      <c r="B8" s="578" t="s">
        <v>426</v>
      </c>
      <c r="C8" s="579" t="s">
        <v>25</v>
      </c>
      <c r="E8" s="581">
        <f>SUM(E11,E14,E19,E23,E26)</f>
        <v>0.43336666666666668</v>
      </c>
      <c r="F8" s="581">
        <f t="shared" ref="F8:X8" si="15">SUM(F11,F14,F19,F23,F26)</f>
        <v>0.43086666666666668</v>
      </c>
      <c r="G8" s="581">
        <f t="shared" si="15"/>
        <v>0.43315833333333331</v>
      </c>
      <c r="H8" s="581">
        <f t="shared" si="15"/>
        <v>0.43679166666666669</v>
      </c>
      <c r="I8" s="581">
        <f t="shared" si="15"/>
        <v>0.44206666666666666</v>
      </c>
      <c r="J8" s="581">
        <f t="shared" si="15"/>
        <v>0.44766666666666666</v>
      </c>
      <c r="K8" s="581">
        <f t="shared" si="15"/>
        <v>0.44766666666666666</v>
      </c>
      <c r="L8" s="581">
        <f t="shared" si="15"/>
        <v>0.44766666666666666</v>
      </c>
      <c r="M8" s="581">
        <f t="shared" si="15"/>
        <v>0.44806666666666667</v>
      </c>
      <c r="N8" s="581">
        <f t="shared" si="15"/>
        <v>0.44716666666666666</v>
      </c>
      <c r="O8" s="581">
        <f t="shared" si="15"/>
        <v>0.44636666666666663</v>
      </c>
      <c r="P8" s="581">
        <f t="shared" si="15"/>
        <v>0.44606666666666661</v>
      </c>
      <c r="Q8" s="581">
        <f t="shared" si="15"/>
        <v>0.44606666666666661</v>
      </c>
      <c r="R8" s="581">
        <f t="shared" si="15"/>
        <v>0.44606666666666661</v>
      </c>
      <c r="S8" s="581">
        <f t="shared" si="15"/>
        <v>0.44776666666666665</v>
      </c>
      <c r="T8" s="581">
        <f t="shared" si="15"/>
        <v>0.44776666666666665</v>
      </c>
      <c r="U8" s="581">
        <f t="shared" si="15"/>
        <v>0.44776666666666665</v>
      </c>
      <c r="V8" s="581">
        <f t="shared" si="15"/>
        <v>0.44946666666666668</v>
      </c>
      <c r="W8" s="581">
        <f t="shared" si="15"/>
        <v>0.44946666666666668</v>
      </c>
      <c r="X8" s="581">
        <f t="shared" si="15"/>
        <v>0.4506</v>
      </c>
      <c r="Z8" s="597"/>
      <c r="AB8" s="578" t="s">
        <v>426</v>
      </c>
      <c r="AC8" s="579" t="s">
        <v>25</v>
      </c>
      <c r="AD8" s="581">
        <f t="shared" ref="AD8" si="16">ROUND(LOOKUP(MID($AD$3,1,4),$E$132:$Y$132,E8:Y8),4)</f>
        <v>0.4506</v>
      </c>
      <c r="AF8" s="739">
        <v>0.45450000000000002</v>
      </c>
      <c r="AH8" s="604" t="s">
        <v>275</v>
      </c>
      <c r="AI8" s="605" t="s">
        <v>476</v>
      </c>
      <c r="AL8" s="588"/>
    </row>
    <row r="9" spans="2:38" hidden="1">
      <c r="B9" s="578" t="s">
        <v>474</v>
      </c>
      <c r="C9" s="579" t="s">
        <v>25</v>
      </c>
      <c r="E9" s="581">
        <f>F9*(E8/F8)</f>
        <v>0.1993246894972813</v>
      </c>
      <c r="F9" s="581">
        <f>G9*(F8/G8)</f>
        <v>0.19817482781646473</v>
      </c>
      <c r="G9" s="581">
        <f>H9*(G8/H8)</f>
        <v>0.19922886769054657</v>
      </c>
      <c r="H9" s="581">
        <v>0.2009</v>
      </c>
      <c r="I9" s="581">
        <f t="shared" ref="I9:V9" si="17">H9*(I8/H8)</f>
        <v>0.20332620814652294</v>
      </c>
      <c r="J9" s="581">
        <f t="shared" si="17"/>
        <v>0.20590189831155206</v>
      </c>
      <c r="K9" s="581">
        <f t="shared" si="17"/>
        <v>0.20590189831155206</v>
      </c>
      <c r="L9" s="581">
        <f t="shared" si="17"/>
        <v>0.20590189831155206</v>
      </c>
      <c r="M9" s="581">
        <f t="shared" si="17"/>
        <v>0.20608587618048274</v>
      </c>
      <c r="N9" s="581">
        <f t="shared" si="17"/>
        <v>0.20567192597538878</v>
      </c>
      <c r="O9" s="581">
        <f t="shared" si="17"/>
        <v>0.20530397023752747</v>
      </c>
      <c r="P9" s="581">
        <f t="shared" si="17"/>
        <v>0.20516598683582946</v>
      </c>
      <c r="Q9" s="581">
        <f t="shared" si="17"/>
        <v>0.20516598683582946</v>
      </c>
      <c r="R9" s="581">
        <f t="shared" si="17"/>
        <v>0.20516598683582946</v>
      </c>
      <c r="S9" s="581">
        <f t="shared" si="17"/>
        <v>0.20594789277878472</v>
      </c>
      <c r="T9" s="581">
        <f t="shared" si="17"/>
        <v>0.20594789277878472</v>
      </c>
      <c r="U9" s="581">
        <f t="shared" si="17"/>
        <v>0.20594789277878472</v>
      </c>
      <c r="V9" s="581">
        <f t="shared" si="17"/>
        <v>0.20672979872174002</v>
      </c>
      <c r="W9" s="581">
        <f t="shared" ref="W9" si="18">V9*(W8/V8)</f>
        <v>0.20672979872174002</v>
      </c>
      <c r="X9" s="581">
        <f t="shared" ref="X9" si="19">W9*(X8/W8)</f>
        <v>0.20725106935037688</v>
      </c>
      <c r="Z9" s="597"/>
      <c r="AB9" s="578" t="s">
        <v>474</v>
      </c>
      <c r="AC9" s="579" t="s">
        <v>25</v>
      </c>
      <c r="AD9" s="585">
        <f>ROUND(LOOKUP(MID($AD$3,1,4),$E$132:$Y$132,E9:Y9),4)</f>
        <v>0.20730000000000001</v>
      </c>
      <c r="AF9" s="585">
        <f>ROUND(V9*(AF8/V8),4)</f>
        <v>0.20899999999999999</v>
      </c>
    </row>
    <row r="10" spans="2:38">
      <c r="Z10" s="597"/>
      <c r="AC10" s="579"/>
    </row>
    <row r="11" spans="2:38" s="582" customFormat="1">
      <c r="B11" s="582" t="s">
        <v>435</v>
      </c>
      <c r="C11" s="583" t="s">
        <v>25</v>
      </c>
      <c r="E11" s="584">
        <f>SUM(E12:E13)</f>
        <v>0.14000000000000001</v>
      </c>
      <c r="F11" s="584">
        <f t="shared" ref="F11:X11" si="20">SUM(F12:F13)</f>
        <v>0.14000000000000001</v>
      </c>
      <c r="G11" s="584">
        <f t="shared" si="20"/>
        <v>0.14000000000000001</v>
      </c>
      <c r="H11" s="584">
        <f t="shared" si="20"/>
        <v>0.14042499999999999</v>
      </c>
      <c r="I11" s="584">
        <f t="shared" si="20"/>
        <v>0.14169999999999999</v>
      </c>
      <c r="J11" s="584">
        <f t="shared" si="20"/>
        <v>0.14169999999999999</v>
      </c>
      <c r="K11" s="584">
        <f t="shared" si="20"/>
        <v>0.14169999999999999</v>
      </c>
      <c r="L11" s="584">
        <f t="shared" si="20"/>
        <v>0.14169999999999999</v>
      </c>
      <c r="M11" s="584">
        <f t="shared" si="20"/>
        <v>0.1421</v>
      </c>
      <c r="N11" s="584">
        <f t="shared" si="20"/>
        <v>0.14329999999999998</v>
      </c>
      <c r="O11" s="584">
        <f t="shared" si="20"/>
        <v>0.14329999999999998</v>
      </c>
      <c r="P11" s="584">
        <f t="shared" si="20"/>
        <v>0.14329999999999998</v>
      </c>
      <c r="Q11" s="584">
        <f t="shared" si="20"/>
        <v>0.14329999999999998</v>
      </c>
      <c r="R11" s="584">
        <f t="shared" si="20"/>
        <v>0.14329999999999998</v>
      </c>
      <c r="S11" s="584">
        <f t="shared" si="20"/>
        <v>0.14499999999999999</v>
      </c>
      <c r="T11" s="584">
        <f t="shared" si="20"/>
        <v>0.14499999999999999</v>
      </c>
      <c r="U11" s="704">
        <f t="shared" si="20"/>
        <v>0.14499999999999999</v>
      </c>
      <c r="V11" s="704">
        <f t="shared" si="20"/>
        <v>0.1467</v>
      </c>
      <c r="W11" s="704">
        <f t="shared" si="20"/>
        <v>0.1467</v>
      </c>
      <c r="X11" s="704">
        <f t="shared" si="20"/>
        <v>0.1467</v>
      </c>
      <c r="Z11" s="598"/>
      <c r="AB11" s="582" t="s">
        <v>435</v>
      </c>
      <c r="AC11" s="583" t="s">
        <v>25</v>
      </c>
      <c r="AD11" s="584">
        <f>SUM(AD12:AD13)</f>
        <v>0.1467</v>
      </c>
      <c r="AF11" s="579" t="s">
        <v>49</v>
      </c>
    </row>
    <row r="12" spans="2:38">
      <c r="B12" s="578" t="s">
        <v>427</v>
      </c>
      <c r="C12" s="579" t="s">
        <v>25</v>
      </c>
      <c r="E12" s="585">
        <v>9.2500000000000013E-2</v>
      </c>
      <c r="F12" s="585">
        <v>9.2499999999999999E-2</v>
      </c>
      <c r="G12" s="585">
        <v>9.2499999999999999E-2</v>
      </c>
      <c r="H12" s="585">
        <v>9.2499999999999999E-2</v>
      </c>
      <c r="I12" s="585">
        <v>9.2499999999999999E-2</v>
      </c>
      <c r="J12" s="585">
        <v>9.2499999999999999E-2</v>
      </c>
      <c r="K12" s="585">
        <v>9.2499999999999999E-2</v>
      </c>
      <c r="L12" s="585">
        <v>9.2499999999999999E-2</v>
      </c>
      <c r="M12" s="585">
        <v>9.2499999999999999E-2</v>
      </c>
      <c r="N12" s="585">
        <v>9.2499999999999999E-2</v>
      </c>
      <c r="O12" s="585">
        <v>9.2499999999999999E-2</v>
      </c>
      <c r="P12" s="585">
        <v>9.2499999999999999E-2</v>
      </c>
      <c r="Q12" s="585">
        <v>9.2499999999999999E-2</v>
      </c>
      <c r="R12" s="585">
        <v>9.2499999999999999E-2</v>
      </c>
      <c r="S12" s="585">
        <v>9.2499999999999999E-2</v>
      </c>
      <c r="T12" s="585">
        <v>9.2499999999999999E-2</v>
      </c>
      <c r="U12" s="585">
        <v>9.2499999999999999E-2</v>
      </c>
      <c r="V12" s="585">
        <v>9.2499999999999999E-2</v>
      </c>
      <c r="W12" s="585">
        <v>9.2499999999999999E-2</v>
      </c>
      <c r="X12" s="585">
        <v>9.2499999999999999E-2</v>
      </c>
      <c r="Z12" s="597"/>
      <c r="AB12" s="578" t="s">
        <v>427</v>
      </c>
      <c r="AC12" s="579" t="s">
        <v>25</v>
      </c>
      <c r="AD12" s="585">
        <f>ROUND(LOOKUP(MID($AD$3,1,4),$E$132:$Y$132,E12:Y12),4)</f>
        <v>9.2499999999999999E-2</v>
      </c>
      <c r="AF12" s="579" t="s">
        <v>49</v>
      </c>
    </row>
    <row r="13" spans="2:38">
      <c r="B13" s="578" t="s">
        <v>428</v>
      </c>
      <c r="C13" s="579" t="s">
        <v>25</v>
      </c>
      <c r="E13" s="585">
        <v>4.7499999999999994E-2</v>
      </c>
      <c r="F13" s="585">
        <v>4.7500000000000001E-2</v>
      </c>
      <c r="G13" s="585">
        <v>4.7500000000000001E-2</v>
      </c>
      <c r="H13" s="585">
        <v>4.7924999999999995E-2</v>
      </c>
      <c r="I13" s="585">
        <v>4.9200000000000001E-2</v>
      </c>
      <c r="J13" s="585">
        <v>4.9200000000000001E-2</v>
      </c>
      <c r="K13" s="585">
        <v>4.9200000000000001E-2</v>
      </c>
      <c r="L13" s="585">
        <v>4.9200000000000001E-2</v>
      </c>
      <c r="M13" s="585">
        <v>4.9599999999999998E-2</v>
      </c>
      <c r="N13" s="585">
        <v>5.0799999999999998E-2</v>
      </c>
      <c r="O13" s="585">
        <v>5.0799999999999998E-2</v>
      </c>
      <c r="P13" s="585">
        <v>5.0799999999999998E-2</v>
      </c>
      <c r="Q13" s="585">
        <v>5.0799999999999998E-2</v>
      </c>
      <c r="R13" s="585">
        <v>5.0799999999999998E-2</v>
      </c>
      <c r="S13" s="585">
        <v>5.2499999999999998E-2</v>
      </c>
      <c r="T13" s="585">
        <v>5.2499999999999998E-2</v>
      </c>
      <c r="U13" s="585">
        <v>5.2499999999999998E-2</v>
      </c>
      <c r="V13" s="585">
        <v>5.4199999999999998E-2</v>
      </c>
      <c r="W13" s="585">
        <v>5.4199999999999998E-2</v>
      </c>
      <c r="X13" s="585">
        <v>5.4199999999999998E-2</v>
      </c>
      <c r="Z13" s="597"/>
      <c r="AB13" s="578" t="s">
        <v>428</v>
      </c>
      <c r="AC13" s="579" t="s">
        <v>25</v>
      </c>
      <c r="AD13" s="585">
        <f t="shared" ref="AD13" si="21">ROUND(LOOKUP(MID($AD$3,1,4),$E$132:$Y$132,E13:Y13),4)</f>
        <v>5.4199999999999998E-2</v>
      </c>
      <c r="AF13" s="579" t="s">
        <v>49</v>
      </c>
    </row>
    <row r="14" spans="2:38" s="582" customFormat="1">
      <c r="B14" s="582" t="s">
        <v>436</v>
      </c>
      <c r="C14" s="583" t="s">
        <v>25</v>
      </c>
      <c r="E14" s="584">
        <f>SUM(E15:E18)</f>
        <v>7.4999999999999983E-2</v>
      </c>
      <c r="F14" s="584">
        <f t="shared" ref="F14:X14" si="22">SUM(F15:F18)</f>
        <v>7.2500000000000009E-2</v>
      </c>
      <c r="G14" s="584">
        <f t="shared" si="22"/>
        <v>7.2500000000000009E-2</v>
      </c>
      <c r="H14" s="584">
        <f t="shared" si="22"/>
        <v>7.2500000000000009E-2</v>
      </c>
      <c r="I14" s="584">
        <f t="shared" si="22"/>
        <v>7.2500000000000009E-2</v>
      </c>
      <c r="J14" s="584">
        <f t="shared" si="22"/>
        <v>7.2500000000000009E-2</v>
      </c>
      <c r="K14" s="584">
        <f t="shared" si="22"/>
        <v>7.2500000000000009E-2</v>
      </c>
      <c r="L14" s="584">
        <f t="shared" si="22"/>
        <v>7.2500000000000009E-2</v>
      </c>
      <c r="M14" s="584">
        <f t="shared" si="22"/>
        <v>7.2500000000000009E-2</v>
      </c>
      <c r="N14" s="584">
        <f t="shared" si="22"/>
        <v>7.2500000000000009E-2</v>
      </c>
      <c r="O14" s="584">
        <f t="shared" si="22"/>
        <v>7.2500000000000009E-2</v>
      </c>
      <c r="P14" s="584">
        <f t="shared" si="22"/>
        <v>7.2500000000000009E-2</v>
      </c>
      <c r="Q14" s="584">
        <f t="shared" si="22"/>
        <v>7.2500000000000009E-2</v>
      </c>
      <c r="R14" s="584">
        <f t="shared" si="22"/>
        <v>7.2500000000000009E-2</v>
      </c>
      <c r="S14" s="584">
        <f t="shared" si="22"/>
        <v>7.2500000000000009E-2</v>
      </c>
      <c r="T14" s="584">
        <f t="shared" si="22"/>
        <v>7.2500000000000009E-2</v>
      </c>
      <c r="U14" s="704">
        <f t="shared" si="22"/>
        <v>7.2500000000000009E-2</v>
      </c>
      <c r="V14" s="704">
        <f t="shared" si="22"/>
        <v>7.2500000000000009E-2</v>
      </c>
      <c r="W14" s="704">
        <f t="shared" si="22"/>
        <v>7.2500000000000009E-2</v>
      </c>
      <c r="X14" s="704">
        <f t="shared" si="22"/>
        <v>7.2500000000000009E-2</v>
      </c>
      <c r="Z14" s="598"/>
      <c r="AB14" s="582" t="s">
        <v>436</v>
      </c>
      <c r="AC14" s="583" t="s">
        <v>25</v>
      </c>
      <c r="AD14" s="584">
        <f>SUM(AD15:AD18)</f>
        <v>7.2500000000000009E-2</v>
      </c>
      <c r="AF14" s="579" t="s">
        <v>49</v>
      </c>
    </row>
    <row r="15" spans="2:38">
      <c r="B15" s="578" t="s">
        <v>429</v>
      </c>
      <c r="C15" s="579" t="s">
        <v>25</v>
      </c>
      <c r="E15" s="585">
        <v>5.0000000000000001E-3</v>
      </c>
      <c r="F15" s="585">
        <v>2.5000000000000001E-3</v>
      </c>
      <c r="G15" s="585">
        <v>2.5000000000000001E-3</v>
      </c>
      <c r="H15" s="585">
        <v>2.5000000000000001E-3</v>
      </c>
      <c r="I15" s="585">
        <v>2.5000000000000001E-3</v>
      </c>
      <c r="J15" s="585">
        <v>2.5000000000000001E-3</v>
      </c>
      <c r="K15" s="585">
        <v>2.5000000000000001E-3</v>
      </c>
      <c r="L15" s="585">
        <v>2.5000000000000001E-3</v>
      </c>
      <c r="M15" s="585">
        <v>2.5000000000000001E-3</v>
      </c>
      <c r="N15" s="585">
        <v>2.5000000000000001E-3</v>
      </c>
      <c r="O15" s="585">
        <v>2.5000000000000001E-3</v>
      </c>
      <c r="P15" s="585">
        <v>2.5000000000000001E-3</v>
      </c>
      <c r="Q15" s="585">
        <v>2.5000000000000001E-3</v>
      </c>
      <c r="R15" s="585">
        <v>2.5000000000000001E-3</v>
      </c>
      <c r="S15" s="585">
        <v>2.5000000000000001E-3</v>
      </c>
      <c r="T15" s="585">
        <v>2.5000000000000001E-3</v>
      </c>
      <c r="U15" s="585">
        <v>2.5000000000000001E-3</v>
      </c>
      <c r="V15" s="585">
        <v>2.5000000000000001E-3</v>
      </c>
      <c r="W15" s="585">
        <v>2.5000000000000001E-3</v>
      </c>
      <c r="X15" s="585">
        <v>2.5000000000000001E-3</v>
      </c>
      <c r="Z15" s="597"/>
      <c r="AB15" s="578" t="s">
        <v>429</v>
      </c>
      <c r="AC15" s="579" t="s">
        <v>25</v>
      </c>
      <c r="AD15" s="585">
        <f>ROUND(LOOKUP(MID($AD$3,1,4),$E$132:$Y$132,E15:Y15),4)</f>
        <v>2.5000000000000001E-3</v>
      </c>
      <c r="AF15" s="579" t="s">
        <v>49</v>
      </c>
    </row>
    <row r="16" spans="2:38">
      <c r="B16" s="578" t="s">
        <v>430</v>
      </c>
      <c r="C16" s="579" t="s">
        <v>25</v>
      </c>
      <c r="E16" s="585">
        <v>4.9999999999999996E-2</v>
      </c>
      <c r="F16" s="585">
        <v>0.05</v>
      </c>
      <c r="G16" s="585">
        <v>0.05</v>
      </c>
      <c r="H16" s="585">
        <v>0.05</v>
      </c>
      <c r="I16" s="585">
        <v>0.05</v>
      </c>
      <c r="J16" s="585">
        <v>0.05</v>
      </c>
      <c r="K16" s="585">
        <v>0.05</v>
      </c>
      <c r="L16" s="585">
        <v>0.05</v>
      </c>
      <c r="M16" s="585">
        <v>0.05</v>
      </c>
      <c r="N16" s="585">
        <v>0.05</v>
      </c>
      <c r="O16" s="585">
        <v>0.05</v>
      </c>
      <c r="P16" s="585">
        <v>0.05</v>
      </c>
      <c r="Q16" s="585">
        <v>0.05</v>
      </c>
      <c r="R16" s="585">
        <v>0.05</v>
      </c>
      <c r="S16" s="585">
        <v>0.05</v>
      </c>
      <c r="T16" s="585">
        <v>0.05</v>
      </c>
      <c r="U16" s="585">
        <v>0.05</v>
      </c>
      <c r="V16" s="585">
        <v>0.05</v>
      </c>
      <c r="W16" s="585">
        <v>0.05</v>
      </c>
      <c r="X16" s="585">
        <v>0.05</v>
      </c>
      <c r="Z16" s="597"/>
      <c r="AB16" s="578" t="s">
        <v>430</v>
      </c>
      <c r="AC16" s="579" t="s">
        <v>25</v>
      </c>
      <c r="AD16" s="585">
        <f>ROUND(LOOKUP(MID($AD$3,1,4),$E$132:$Y$132,E16:Y16),4)</f>
        <v>0.05</v>
      </c>
      <c r="AF16" s="579" t="s">
        <v>49</v>
      </c>
    </row>
    <row r="17" spans="2:38">
      <c r="B17" s="578" t="s">
        <v>431</v>
      </c>
      <c r="C17" s="579" t="s">
        <v>25</v>
      </c>
      <c r="E17" s="585">
        <v>5.0000000000000001E-3</v>
      </c>
      <c r="F17" s="585">
        <v>5.0000000000000001E-3</v>
      </c>
      <c r="G17" s="585">
        <v>5.0000000000000001E-3</v>
      </c>
      <c r="H17" s="585">
        <v>5.0000000000000001E-3</v>
      </c>
      <c r="I17" s="585">
        <v>5.0000000000000001E-3</v>
      </c>
      <c r="J17" s="585">
        <v>5.0000000000000001E-3</v>
      </c>
      <c r="K17" s="585">
        <v>5.0000000000000001E-3</v>
      </c>
      <c r="L17" s="585">
        <v>5.0000000000000001E-3</v>
      </c>
      <c r="M17" s="585">
        <v>5.0000000000000001E-3</v>
      </c>
      <c r="N17" s="585">
        <v>5.0000000000000001E-3</v>
      </c>
      <c r="O17" s="585">
        <v>5.0000000000000001E-3</v>
      </c>
      <c r="P17" s="585">
        <v>5.0000000000000001E-3</v>
      </c>
      <c r="Q17" s="585">
        <v>5.0000000000000001E-3</v>
      </c>
      <c r="R17" s="585">
        <v>5.0000000000000001E-3</v>
      </c>
      <c r="S17" s="585">
        <v>5.0000000000000001E-3</v>
      </c>
      <c r="T17" s="585">
        <v>5.0000000000000001E-3</v>
      </c>
      <c r="U17" s="585">
        <v>5.0000000000000001E-3</v>
      </c>
      <c r="V17" s="585">
        <v>5.0000000000000001E-3</v>
      </c>
      <c r="W17" s="585">
        <v>5.0000000000000001E-3</v>
      </c>
      <c r="X17" s="585">
        <v>5.0000000000000001E-3</v>
      </c>
      <c r="Z17" s="597"/>
      <c r="AB17" s="578" t="s">
        <v>431</v>
      </c>
      <c r="AC17" s="579" t="s">
        <v>25</v>
      </c>
      <c r="AD17" s="585">
        <f>ROUND(LOOKUP(MID($AD$3,1,4),$E$132:$Y$132,E17:Y17),4)</f>
        <v>5.0000000000000001E-3</v>
      </c>
      <c r="AF17" s="579" t="s">
        <v>49</v>
      </c>
    </row>
    <row r="18" spans="2:38">
      <c r="B18" s="578" t="s">
        <v>432</v>
      </c>
      <c r="C18" s="579" t="s">
        <v>25</v>
      </c>
      <c r="E18" s="585">
        <v>1.4999999999999999E-2</v>
      </c>
      <c r="F18" s="585">
        <v>1.4999999999999999E-2</v>
      </c>
      <c r="G18" s="585">
        <v>1.4999999999999999E-2</v>
      </c>
      <c r="H18" s="585">
        <v>1.4999999999999999E-2</v>
      </c>
      <c r="I18" s="585">
        <v>1.4999999999999999E-2</v>
      </c>
      <c r="J18" s="585">
        <v>1.4999999999999999E-2</v>
      </c>
      <c r="K18" s="585">
        <v>1.4999999999999999E-2</v>
      </c>
      <c r="L18" s="585">
        <v>1.4999999999999999E-2</v>
      </c>
      <c r="M18" s="585">
        <v>1.4999999999999999E-2</v>
      </c>
      <c r="N18" s="585">
        <v>1.4999999999999999E-2</v>
      </c>
      <c r="O18" s="585">
        <v>1.4999999999999999E-2</v>
      </c>
      <c r="P18" s="585">
        <v>1.4999999999999999E-2</v>
      </c>
      <c r="Q18" s="585">
        <v>1.4999999999999999E-2</v>
      </c>
      <c r="R18" s="585">
        <v>1.4999999999999999E-2</v>
      </c>
      <c r="S18" s="585">
        <v>1.4999999999999999E-2</v>
      </c>
      <c r="T18" s="585">
        <v>1.4999999999999999E-2</v>
      </c>
      <c r="U18" s="585">
        <v>1.4999999999999999E-2</v>
      </c>
      <c r="V18" s="585">
        <v>1.4999999999999999E-2</v>
      </c>
      <c r="W18" s="585">
        <v>1.4999999999999999E-2</v>
      </c>
      <c r="X18" s="585">
        <v>1.4999999999999999E-2</v>
      </c>
      <c r="Z18" s="597"/>
      <c r="AB18" s="578" t="s">
        <v>432</v>
      </c>
      <c r="AC18" s="579" t="s">
        <v>25</v>
      </c>
      <c r="AD18" s="585">
        <f>ROUND(LOOKUP(MID($AD$3,1,4),$E$132:$Y$132,E18:Y18),4)</f>
        <v>1.4999999999999999E-2</v>
      </c>
      <c r="AF18" s="579" t="s">
        <v>49</v>
      </c>
    </row>
    <row r="19" spans="2:38" s="582" customFormat="1">
      <c r="B19" s="582" t="s">
        <v>441</v>
      </c>
      <c r="C19" s="583" t="s">
        <v>25</v>
      </c>
      <c r="E19" s="584">
        <f>SUM(E20:E22)</f>
        <v>4.7500000000000001E-2</v>
      </c>
      <c r="F19" s="584">
        <f t="shared" ref="F19:X19" si="23">SUM(F20:F22)</f>
        <v>4.7500000000000001E-2</v>
      </c>
      <c r="G19" s="584">
        <f t="shared" si="23"/>
        <v>4.7500000000000001E-2</v>
      </c>
      <c r="H19" s="584">
        <f t="shared" si="23"/>
        <v>4.7500000000000001E-2</v>
      </c>
      <c r="I19" s="584">
        <f t="shared" si="23"/>
        <v>4.7500000000000001E-2</v>
      </c>
      <c r="J19" s="584">
        <f t="shared" si="23"/>
        <v>4.7500000000000001E-2</v>
      </c>
      <c r="K19" s="584">
        <f t="shared" si="23"/>
        <v>4.7500000000000001E-2</v>
      </c>
      <c r="L19" s="584">
        <f t="shared" si="23"/>
        <v>4.7500000000000001E-2</v>
      </c>
      <c r="M19" s="584">
        <f t="shared" si="23"/>
        <v>4.7500000000000001E-2</v>
      </c>
      <c r="N19" s="584">
        <f t="shared" si="23"/>
        <v>4.7500000000000001E-2</v>
      </c>
      <c r="O19" s="584">
        <f t="shared" si="23"/>
        <v>4.7500000000000001E-2</v>
      </c>
      <c r="P19" s="584">
        <f t="shared" si="23"/>
        <v>4.7500000000000001E-2</v>
      </c>
      <c r="Q19" s="584">
        <f t="shared" si="23"/>
        <v>4.7500000000000001E-2</v>
      </c>
      <c r="R19" s="584">
        <f t="shared" si="23"/>
        <v>4.7500000000000001E-2</v>
      </c>
      <c r="S19" s="584">
        <f t="shared" si="23"/>
        <v>4.7500000000000001E-2</v>
      </c>
      <c r="T19" s="584">
        <f t="shared" si="23"/>
        <v>4.7500000000000001E-2</v>
      </c>
      <c r="U19" s="704">
        <f t="shared" si="23"/>
        <v>4.7500000000000001E-2</v>
      </c>
      <c r="V19" s="704">
        <f t="shared" si="23"/>
        <v>4.7500000000000001E-2</v>
      </c>
      <c r="W19" s="704">
        <f t="shared" si="23"/>
        <v>4.7500000000000001E-2</v>
      </c>
      <c r="X19" s="704">
        <f t="shared" si="23"/>
        <v>4.7500000000000001E-2</v>
      </c>
      <c r="Z19" s="598"/>
      <c r="AB19" s="582" t="s">
        <v>441</v>
      </c>
      <c r="AC19" s="583" t="s">
        <v>25</v>
      </c>
      <c r="AD19" s="584">
        <f>SUM(AD20:AD22)</f>
        <v>4.7500000000000001E-2</v>
      </c>
      <c r="AF19" s="579" t="s">
        <v>49</v>
      </c>
    </row>
    <row r="20" spans="2:38">
      <c r="B20" s="578" t="s">
        <v>429</v>
      </c>
      <c r="C20" s="579" t="s">
        <v>25</v>
      </c>
      <c r="E20" s="585">
        <v>2.5000000000000001E-3</v>
      </c>
      <c r="F20" s="585">
        <v>2.5000000000000001E-3</v>
      </c>
      <c r="G20" s="585">
        <v>2.5000000000000001E-3</v>
      </c>
      <c r="H20" s="585">
        <v>2.5000000000000001E-3</v>
      </c>
      <c r="I20" s="585">
        <v>2.5000000000000001E-3</v>
      </c>
      <c r="J20" s="585">
        <v>2.5000000000000001E-3</v>
      </c>
      <c r="K20" s="585">
        <v>2.5000000000000001E-3</v>
      </c>
      <c r="L20" s="585">
        <v>2.5000000000000001E-3</v>
      </c>
      <c r="M20" s="585">
        <v>2.5000000000000001E-3</v>
      </c>
      <c r="N20" s="585">
        <v>2.5000000000000001E-3</v>
      </c>
      <c r="O20" s="585">
        <v>2.5000000000000001E-3</v>
      </c>
      <c r="P20" s="585">
        <v>2.5000000000000001E-3</v>
      </c>
      <c r="Q20" s="585">
        <v>2.5000000000000001E-3</v>
      </c>
      <c r="R20" s="585">
        <v>2.5000000000000001E-3</v>
      </c>
      <c r="S20" s="585">
        <v>2.5000000000000001E-3</v>
      </c>
      <c r="T20" s="585">
        <v>2.5000000000000001E-3</v>
      </c>
      <c r="U20" s="585">
        <v>2.5000000000000001E-3</v>
      </c>
      <c r="V20" s="585">
        <v>2.5000000000000001E-3</v>
      </c>
      <c r="W20" s="585">
        <v>2.5000000000000001E-3</v>
      </c>
      <c r="X20" s="585">
        <v>2.5000000000000001E-3</v>
      </c>
      <c r="Z20" s="597"/>
      <c r="AB20" s="578" t="s">
        <v>429</v>
      </c>
      <c r="AC20" s="579" t="s">
        <v>25</v>
      </c>
      <c r="AD20" s="585">
        <f>ROUND(LOOKUP(MID($AD$3,1,4),$E$132:$Y$132,E20:Y20),4)</f>
        <v>2.5000000000000001E-3</v>
      </c>
      <c r="AF20" s="579" t="s">
        <v>49</v>
      </c>
    </row>
    <row r="21" spans="2:38">
      <c r="B21" s="578" t="s">
        <v>433</v>
      </c>
      <c r="C21" s="579" t="s">
        <v>25</v>
      </c>
      <c r="E21" s="585">
        <v>0.03</v>
      </c>
      <c r="F21" s="585">
        <v>0.03</v>
      </c>
      <c r="G21" s="585">
        <v>0.03</v>
      </c>
      <c r="H21" s="585">
        <v>0.03</v>
      </c>
      <c r="I21" s="585">
        <v>0.03</v>
      </c>
      <c r="J21" s="585">
        <v>0.03</v>
      </c>
      <c r="K21" s="585">
        <v>0.03</v>
      </c>
      <c r="L21" s="585">
        <v>0.03</v>
      </c>
      <c r="M21" s="585">
        <v>0.03</v>
      </c>
      <c r="N21" s="585">
        <v>0.03</v>
      </c>
      <c r="O21" s="585">
        <v>0.03</v>
      </c>
      <c r="P21" s="585">
        <v>0.03</v>
      </c>
      <c r="Q21" s="585">
        <v>0.03</v>
      </c>
      <c r="R21" s="585">
        <v>0.03</v>
      </c>
      <c r="S21" s="585">
        <v>0.03</v>
      </c>
      <c r="T21" s="585">
        <v>0.03</v>
      </c>
      <c r="U21" s="585">
        <v>0.03</v>
      </c>
      <c r="V21" s="585">
        <v>0.03</v>
      </c>
      <c r="W21" s="585">
        <v>0.03</v>
      </c>
      <c r="X21" s="585">
        <v>0.03</v>
      </c>
      <c r="Z21" s="597"/>
      <c r="AB21" s="578" t="s">
        <v>433</v>
      </c>
      <c r="AC21" s="579" t="s">
        <v>25</v>
      </c>
      <c r="AD21" s="585">
        <f>ROUND(LOOKUP(MID($AD$3,1,4),$E$132:$Y$132,E21:Y21),4)</f>
        <v>0.03</v>
      </c>
      <c r="AF21" s="579" t="s">
        <v>49</v>
      </c>
    </row>
    <row r="22" spans="2:38">
      <c r="B22" s="578" t="s">
        <v>434</v>
      </c>
      <c r="C22" s="579" t="s">
        <v>25</v>
      </c>
      <c r="E22" s="585">
        <v>1.4999999999999999E-2</v>
      </c>
      <c r="F22" s="585">
        <v>1.4999999999999999E-2</v>
      </c>
      <c r="G22" s="585">
        <v>1.4999999999999999E-2</v>
      </c>
      <c r="H22" s="585">
        <v>1.4999999999999999E-2</v>
      </c>
      <c r="I22" s="585">
        <v>1.4999999999999999E-2</v>
      </c>
      <c r="J22" s="585">
        <v>1.4999999999999999E-2</v>
      </c>
      <c r="K22" s="585">
        <v>1.4999999999999999E-2</v>
      </c>
      <c r="L22" s="585">
        <v>1.4999999999999999E-2</v>
      </c>
      <c r="M22" s="585">
        <v>1.4999999999999999E-2</v>
      </c>
      <c r="N22" s="585">
        <v>1.4999999999999999E-2</v>
      </c>
      <c r="O22" s="585">
        <v>1.4999999999999999E-2</v>
      </c>
      <c r="P22" s="585">
        <v>1.4999999999999999E-2</v>
      </c>
      <c r="Q22" s="585">
        <v>1.4999999999999999E-2</v>
      </c>
      <c r="R22" s="585">
        <v>1.4999999999999999E-2</v>
      </c>
      <c r="S22" s="585">
        <v>1.4999999999999999E-2</v>
      </c>
      <c r="T22" s="585">
        <v>1.4999999999999999E-2</v>
      </c>
      <c r="U22" s="585">
        <v>1.4999999999999999E-2</v>
      </c>
      <c r="V22" s="585">
        <v>1.4999999999999999E-2</v>
      </c>
      <c r="W22" s="585">
        <v>1.4999999999999999E-2</v>
      </c>
      <c r="X22" s="585">
        <v>1.4999999999999999E-2</v>
      </c>
      <c r="Z22" s="597"/>
      <c r="AB22" s="578" t="s">
        <v>434</v>
      </c>
      <c r="AC22" s="579" t="s">
        <v>25</v>
      </c>
      <c r="AD22" s="585">
        <f>ROUND(LOOKUP(MID($AD$3,1,4),$E$132:$Y$132,E22:Y22),4)</f>
        <v>1.4999999999999999E-2</v>
      </c>
      <c r="AF22" s="579" t="s">
        <v>49</v>
      </c>
    </row>
    <row r="23" spans="2:38" s="582" customFormat="1">
      <c r="B23" s="582" t="s">
        <v>437</v>
      </c>
      <c r="C23" s="583" t="s">
        <v>25</v>
      </c>
      <c r="E23" s="584">
        <f>SUM(E24:E25)</f>
        <v>0.13666666666666666</v>
      </c>
      <c r="F23" s="584">
        <f t="shared" ref="F23:X23" si="24">SUM(F24:F25)</f>
        <v>0.13666666666666666</v>
      </c>
      <c r="G23" s="584">
        <f t="shared" si="24"/>
        <v>0.13666666666666666</v>
      </c>
      <c r="H23" s="584">
        <f t="shared" si="24"/>
        <v>0.13666666666666666</v>
      </c>
      <c r="I23" s="584">
        <f t="shared" si="24"/>
        <v>0.13666666666666666</v>
      </c>
      <c r="J23" s="584">
        <f t="shared" si="24"/>
        <v>0.13666666666666666</v>
      </c>
      <c r="K23" s="584">
        <f t="shared" si="24"/>
        <v>0.13666666666666666</v>
      </c>
      <c r="L23" s="584">
        <f t="shared" si="24"/>
        <v>0.13666666666666666</v>
      </c>
      <c r="M23" s="584">
        <f t="shared" si="24"/>
        <v>0.13666666666666666</v>
      </c>
      <c r="N23" s="584">
        <f t="shared" si="24"/>
        <v>0.13666666666666666</v>
      </c>
      <c r="O23" s="584">
        <f t="shared" si="24"/>
        <v>0.13666666666666666</v>
      </c>
      <c r="P23" s="584">
        <f t="shared" si="24"/>
        <v>0.13666666666666666</v>
      </c>
      <c r="Q23" s="584">
        <f t="shared" si="24"/>
        <v>0.13666666666666666</v>
      </c>
      <c r="R23" s="584">
        <f t="shared" si="24"/>
        <v>0.13666666666666666</v>
      </c>
      <c r="S23" s="584">
        <f t="shared" si="24"/>
        <v>0.13666666666666666</v>
      </c>
      <c r="T23" s="584">
        <f t="shared" si="24"/>
        <v>0.13666666666666666</v>
      </c>
      <c r="U23" s="704">
        <f t="shared" si="24"/>
        <v>0.13666666666666666</v>
      </c>
      <c r="V23" s="704">
        <f t="shared" si="24"/>
        <v>0.13666666666666666</v>
      </c>
      <c r="W23" s="704">
        <f t="shared" si="24"/>
        <v>0.13666666666666666</v>
      </c>
      <c r="X23" s="704">
        <f t="shared" si="24"/>
        <v>0.13666666666666666</v>
      </c>
      <c r="Z23" s="598"/>
      <c r="AB23" s="582" t="s">
        <v>437</v>
      </c>
      <c r="AC23" s="583" t="s">
        <v>25</v>
      </c>
      <c r="AD23" s="584">
        <f>SUM(AD24:AD25)</f>
        <v>0.1366</v>
      </c>
      <c r="AF23" s="579" t="s">
        <v>49</v>
      </c>
    </row>
    <row r="24" spans="2:38">
      <c r="B24" s="578" t="s">
        <v>438</v>
      </c>
      <c r="C24" s="579" t="s">
        <v>25</v>
      </c>
      <c r="E24" s="585">
        <v>8.3333333333333329E-2</v>
      </c>
      <c r="F24" s="585">
        <v>8.3333333333333329E-2</v>
      </c>
      <c r="G24" s="585">
        <v>8.3333333333333329E-2</v>
      </c>
      <c r="H24" s="585">
        <v>8.3333333333333329E-2</v>
      </c>
      <c r="I24" s="585">
        <v>8.3333333333333329E-2</v>
      </c>
      <c r="J24" s="585">
        <v>8.3333333333333329E-2</v>
      </c>
      <c r="K24" s="585">
        <v>8.3333333333333329E-2</v>
      </c>
      <c r="L24" s="585">
        <v>8.3333333333333329E-2</v>
      </c>
      <c r="M24" s="585">
        <v>8.3333333333333329E-2</v>
      </c>
      <c r="N24" s="585">
        <v>8.3333333333333329E-2</v>
      </c>
      <c r="O24" s="585">
        <v>8.3333333333333329E-2</v>
      </c>
      <c r="P24" s="585">
        <v>8.3333333333333329E-2</v>
      </c>
      <c r="Q24" s="585">
        <v>8.3333333333333329E-2</v>
      </c>
      <c r="R24" s="585">
        <v>8.3333333333333329E-2</v>
      </c>
      <c r="S24" s="585">
        <v>8.3333333333333329E-2</v>
      </c>
      <c r="T24" s="585">
        <v>8.3333333333333329E-2</v>
      </c>
      <c r="U24" s="585">
        <v>8.3333333333333329E-2</v>
      </c>
      <c r="V24" s="585">
        <v>8.3333333333333329E-2</v>
      </c>
      <c r="W24" s="585">
        <v>8.3333333333333329E-2</v>
      </c>
      <c r="X24" s="585">
        <v>8.3333333333333329E-2</v>
      </c>
      <c r="Z24" s="597"/>
      <c r="AB24" s="578" t="s">
        <v>438</v>
      </c>
      <c r="AC24" s="579" t="s">
        <v>25</v>
      </c>
      <c r="AD24" s="585">
        <f>ROUND(LOOKUP(MID($AD$3,1,4),$E$132:$Y$132,E24:Y24),4)</f>
        <v>8.3299999999999999E-2</v>
      </c>
      <c r="AF24" s="579" t="s">
        <v>49</v>
      </c>
    </row>
    <row r="25" spans="2:38">
      <c r="B25" s="578" t="s">
        <v>439</v>
      </c>
      <c r="C25" s="579" t="s">
        <v>25</v>
      </c>
      <c r="E25" s="585">
        <v>5.333333333333333E-2</v>
      </c>
      <c r="F25" s="585">
        <v>5.333333333333333E-2</v>
      </c>
      <c r="G25" s="585">
        <v>5.333333333333333E-2</v>
      </c>
      <c r="H25" s="585">
        <v>5.333333333333333E-2</v>
      </c>
      <c r="I25" s="585">
        <v>5.333333333333333E-2</v>
      </c>
      <c r="J25" s="585">
        <v>5.333333333333333E-2</v>
      </c>
      <c r="K25" s="585">
        <v>5.333333333333333E-2</v>
      </c>
      <c r="L25" s="585">
        <v>5.333333333333333E-2</v>
      </c>
      <c r="M25" s="585">
        <v>5.333333333333333E-2</v>
      </c>
      <c r="N25" s="585">
        <v>5.333333333333333E-2</v>
      </c>
      <c r="O25" s="585">
        <v>5.333333333333333E-2</v>
      </c>
      <c r="P25" s="585">
        <v>5.333333333333333E-2</v>
      </c>
      <c r="Q25" s="585">
        <v>5.333333333333333E-2</v>
      </c>
      <c r="R25" s="585">
        <v>5.333333333333333E-2</v>
      </c>
      <c r="S25" s="585">
        <v>5.333333333333333E-2</v>
      </c>
      <c r="T25" s="585">
        <v>5.333333333333333E-2</v>
      </c>
      <c r="U25" s="585">
        <v>5.333333333333333E-2</v>
      </c>
      <c r="V25" s="585">
        <v>5.333333333333333E-2</v>
      </c>
      <c r="W25" s="585">
        <v>5.333333333333333E-2</v>
      </c>
      <c r="X25" s="585">
        <v>5.333333333333333E-2</v>
      </c>
      <c r="Z25" s="597"/>
      <c r="AB25" s="578" t="s">
        <v>439</v>
      </c>
      <c r="AC25" s="579" t="s">
        <v>25</v>
      </c>
      <c r="AD25" s="585">
        <f>ROUND(LOOKUP(MID($AD$3,1,4),$E$132:$Y$132,E25:Y25),4)</f>
        <v>5.33E-2</v>
      </c>
      <c r="AF25" s="579" t="s">
        <v>49</v>
      </c>
    </row>
    <row r="26" spans="2:38" s="582" customFormat="1">
      <c r="B26" s="582" t="s">
        <v>442</v>
      </c>
      <c r="C26" s="583" t="s">
        <v>25</v>
      </c>
      <c r="E26" s="584">
        <v>3.4200000000000001E-2</v>
      </c>
      <c r="F26" s="584">
        <v>3.4200000000000001E-2</v>
      </c>
      <c r="G26" s="584">
        <v>3.6491666666666665E-2</v>
      </c>
      <c r="H26" s="584">
        <v>3.9699999999999999E-2</v>
      </c>
      <c r="I26" s="584">
        <v>4.3699999999999996E-2</v>
      </c>
      <c r="J26" s="584">
        <v>4.9299999999999997E-2</v>
      </c>
      <c r="K26" s="584">
        <v>4.9299999999999997E-2</v>
      </c>
      <c r="L26" s="584">
        <v>4.9299999999999997E-2</v>
      </c>
      <c r="M26" s="584">
        <v>4.9299999999999997E-2</v>
      </c>
      <c r="N26" s="584">
        <v>4.7199999999999999E-2</v>
      </c>
      <c r="O26" s="584">
        <v>4.6400000000000004E-2</v>
      </c>
      <c r="P26" s="584">
        <v>4.6100000000000002E-2</v>
      </c>
      <c r="Q26" s="584">
        <v>4.6100000000000002E-2</v>
      </c>
      <c r="R26" s="584">
        <v>4.6100000000000002E-2</v>
      </c>
      <c r="S26" s="584">
        <v>4.6100000000000002E-2</v>
      </c>
      <c r="T26" s="584">
        <v>4.6100000000000002E-2</v>
      </c>
      <c r="U26" s="704">
        <v>4.6100000000000002E-2</v>
      </c>
      <c r="V26" s="704">
        <v>4.6100000000000002E-2</v>
      </c>
      <c r="W26" s="704">
        <v>4.6100000000000002E-2</v>
      </c>
      <c r="X26" s="704">
        <f>(4.61%*8+4.95%*4)/12</f>
        <v>4.7233333333333329E-2</v>
      </c>
      <c r="Z26" s="598"/>
      <c r="AB26" s="582" t="s">
        <v>442</v>
      </c>
      <c r="AC26" s="583" t="s">
        <v>25</v>
      </c>
      <c r="AD26" s="584">
        <v>4.6100000000000002E-2</v>
      </c>
      <c r="AF26" s="579" t="s">
        <v>49</v>
      </c>
    </row>
    <row r="27" spans="2:38">
      <c r="Z27" s="597"/>
      <c r="AC27" s="579"/>
    </row>
    <row r="28" spans="2:38">
      <c r="B28" s="576" t="s">
        <v>448</v>
      </c>
      <c r="Z28" s="597"/>
      <c r="AB28" s="576" t="s">
        <v>448</v>
      </c>
      <c r="AC28" s="579"/>
    </row>
    <row r="29" spans="2:38">
      <c r="B29" s="578" t="s">
        <v>26</v>
      </c>
      <c r="C29" s="579" t="s">
        <v>138</v>
      </c>
      <c r="E29" s="580">
        <v>122.54593973285374</v>
      </c>
      <c r="F29" s="580">
        <v>134.02848611778393</v>
      </c>
      <c r="G29" s="580">
        <v>146.58286715354302</v>
      </c>
      <c r="H29" s="580">
        <v>149.17869014004714</v>
      </c>
      <c r="I29" s="580">
        <v>180.21811192717257</v>
      </c>
      <c r="J29" s="580">
        <v>213.7297702351905</v>
      </c>
      <c r="K29" s="580">
        <v>201.6060248778127</v>
      </c>
      <c r="L29" s="580">
        <v>181.42137596844481</v>
      </c>
      <c r="M29" s="580">
        <v>216.64846466171682</v>
      </c>
      <c r="N29" s="580">
        <v>217.39234964604708</v>
      </c>
      <c r="O29" s="580">
        <v>217.01573321399366</v>
      </c>
      <c r="P29" s="580">
        <v>228.37092266278125</v>
      </c>
      <c r="Q29" s="580">
        <v>245.69845688155988</v>
      </c>
      <c r="R29" s="580">
        <v>253.12771018548406</v>
      </c>
      <c r="S29" s="580">
        <v>222.92901269802454</v>
      </c>
      <c r="T29" s="580">
        <v>276.55240977663391</v>
      </c>
      <c r="U29" s="580">
        <v>282.920325096</v>
      </c>
      <c r="V29" s="580">
        <v>237.77123688886152</v>
      </c>
      <c r="W29" s="580">
        <v>286.35353880030488</v>
      </c>
      <c r="X29" s="580">
        <v>294.97854510090241</v>
      </c>
      <c r="Z29" s="597"/>
      <c r="AB29" s="578" t="s">
        <v>26</v>
      </c>
      <c r="AC29" s="579" t="s">
        <v>138</v>
      </c>
      <c r="AD29" s="580">
        <f>ROUND(LOOKUP(MID($AD$3,1,4),$E$132:$Y$132,E29:Y29),4)</f>
        <v>294.9785</v>
      </c>
      <c r="AF29" s="701">
        <f>X29*(1+POWER((X29/Q29),(1/(COUNT(Q29:X29)-1)))-1)</f>
        <v>302.78305889332972</v>
      </c>
      <c r="AL29" s="588"/>
    </row>
    <row r="30" spans="2:38">
      <c r="B30" s="578" t="s">
        <v>443</v>
      </c>
      <c r="C30" s="579" t="s">
        <v>245</v>
      </c>
      <c r="E30" s="586">
        <v>142.00799041144464</v>
      </c>
      <c r="F30" s="586">
        <v>155.31412964775731</v>
      </c>
      <c r="G30" s="586">
        <v>169.86232623129322</v>
      </c>
      <c r="H30" s="586">
        <v>172.87040309276151</v>
      </c>
      <c r="I30" s="586">
        <v>208.83932969393538</v>
      </c>
      <c r="J30" s="586">
        <v>247.67311938987245</v>
      </c>
      <c r="K30" s="586">
        <v>233.62394959922506</v>
      </c>
      <c r="L30" s="586">
        <v>210.23368930150721</v>
      </c>
      <c r="M30" s="586">
        <v>251.05534430111499</v>
      </c>
      <c r="N30" s="586">
        <v>251.91736887697837</v>
      </c>
      <c r="O30" s="586">
        <v>251.48094036055076</v>
      </c>
      <c r="P30" s="586">
        <v>264.63949655489569</v>
      </c>
      <c r="Q30" s="586">
        <v>284.71889142149371</v>
      </c>
      <c r="R30" s="586">
        <v>293.32801657282681</v>
      </c>
      <c r="S30" s="580">
        <v>258.33333333333337</v>
      </c>
      <c r="T30" s="580">
        <v>276.3095238095238</v>
      </c>
      <c r="U30" s="580">
        <v>426.58730158730162</v>
      </c>
      <c r="V30" s="580">
        <v>420.83333333333337</v>
      </c>
      <c r="W30" s="580">
        <v>360.35714285714283</v>
      </c>
      <c r="X30" s="580">
        <v>296.38888888888886</v>
      </c>
      <c r="Z30" s="597"/>
      <c r="AB30" s="578" t="s">
        <v>443</v>
      </c>
      <c r="AC30" s="579" t="s">
        <v>245</v>
      </c>
      <c r="AD30" s="580">
        <f>ROUND(LOOKUP(MID($AD$3,1,4),$E$132:$Y$132,E30:Y30),4)</f>
        <v>296.38889999999998</v>
      </c>
      <c r="AF30" s="580">
        <v>250</v>
      </c>
      <c r="AL30" s="588"/>
    </row>
    <row r="31" spans="2:38">
      <c r="B31" s="578" t="s">
        <v>440</v>
      </c>
      <c r="C31" s="579" t="s">
        <v>139</v>
      </c>
      <c r="E31" s="580">
        <v>1823.5612738143875</v>
      </c>
      <c r="F31" s="580">
        <v>1860.651944370014</v>
      </c>
      <c r="G31" s="580">
        <v>2040.4155402460435</v>
      </c>
      <c r="H31" s="580">
        <v>2504.8852897056049</v>
      </c>
      <c r="I31" s="580">
        <v>2492.3734396566665</v>
      </c>
      <c r="J31" s="580">
        <v>2807.0420408163263</v>
      </c>
      <c r="K31" s="580">
        <v>2539.4500000000003</v>
      </c>
      <c r="L31" s="580">
        <v>2552.2395833333335</v>
      </c>
      <c r="M31" s="580">
        <v>2552.2395833333335</v>
      </c>
      <c r="N31" s="580">
        <v>3215.1416666666664</v>
      </c>
      <c r="O31" s="580">
        <v>3118.2666666666664</v>
      </c>
      <c r="P31" s="580">
        <v>2867.9359623015876</v>
      </c>
      <c r="Q31" s="580">
        <v>2856.2999999999997</v>
      </c>
      <c r="R31" s="580">
        <v>2801.8155555555559</v>
      </c>
      <c r="S31" s="580">
        <v>3015.8909090909092</v>
      </c>
      <c r="T31" s="580">
        <v>2191.2768666666666</v>
      </c>
      <c r="U31" s="580">
        <v>2779.5581393939397</v>
      </c>
      <c r="V31" s="580">
        <v>3300.1247736185383</v>
      </c>
      <c r="W31" s="580">
        <v>2698.5619393939392</v>
      </c>
      <c r="X31" s="580">
        <v>2419.6660666666662</v>
      </c>
      <c r="Z31" s="597"/>
      <c r="AB31" s="578" t="s">
        <v>440</v>
      </c>
      <c r="AC31" s="579" t="s">
        <v>139</v>
      </c>
      <c r="AD31" s="580">
        <f t="shared" ref="AD31:AD37" si="25">ROUND(LOOKUP(MID($AD$3,1,4),$E$132:$Y$132,E31:Y31),2)</f>
        <v>2419.67</v>
      </c>
      <c r="AF31" s="580">
        <v>2261.9297792462062</v>
      </c>
      <c r="AL31" s="588"/>
    </row>
    <row r="32" spans="2:38">
      <c r="B32" s="578" t="s">
        <v>44</v>
      </c>
      <c r="C32" s="579" t="s">
        <v>160</v>
      </c>
      <c r="E32" s="580">
        <v>7642.7983091787446</v>
      </c>
      <c r="F32" s="580">
        <v>9827.6030818582803</v>
      </c>
      <c r="G32" s="580">
        <v>20634.84783297903</v>
      </c>
      <c r="H32" s="580">
        <v>19103.140439328236</v>
      </c>
      <c r="I32" s="580">
        <v>15470.028115190664</v>
      </c>
      <c r="J32" s="580">
        <v>16797.159323308275</v>
      </c>
      <c r="K32" s="580">
        <v>17455.47000194099</v>
      </c>
      <c r="L32" s="580">
        <v>16431.089192708328</v>
      </c>
      <c r="M32" s="580">
        <v>15754.703125000004</v>
      </c>
      <c r="N32" s="580">
        <v>15148.020483193279</v>
      </c>
      <c r="O32" s="580">
        <v>13391.66666666667</v>
      </c>
      <c r="P32" s="580">
        <v>13153.496527777777</v>
      </c>
      <c r="Q32" s="580">
        <v>14179.87670068027</v>
      </c>
      <c r="R32" s="580">
        <v>14128.532196969698</v>
      </c>
      <c r="S32" s="580">
        <v>14457.880051517341</v>
      </c>
      <c r="T32" s="580">
        <v>17017.155601466668</v>
      </c>
      <c r="U32" s="580">
        <v>41262.87230769232</v>
      </c>
      <c r="V32" s="580">
        <v>26757.778461538463</v>
      </c>
      <c r="W32" s="580">
        <v>21687.518461538461</v>
      </c>
      <c r="X32" s="580">
        <v>22036.856842105266</v>
      </c>
      <c r="Z32" s="597"/>
      <c r="AB32" s="578" t="s">
        <v>44</v>
      </c>
      <c r="AC32" s="579" t="s">
        <v>160</v>
      </c>
      <c r="AD32" s="580">
        <f t="shared" si="25"/>
        <v>22036.86</v>
      </c>
      <c r="AF32" s="701">
        <v>23118.003214285716</v>
      </c>
      <c r="AI32" s="699"/>
      <c r="AL32" s="588"/>
    </row>
    <row r="33" spans="2:38">
      <c r="B33" s="578" t="s">
        <v>45</v>
      </c>
      <c r="C33" s="579" t="s">
        <v>160</v>
      </c>
      <c r="E33" s="580">
        <v>7590.5557528409081</v>
      </c>
      <c r="F33" s="580">
        <v>9490.8314440993781</v>
      </c>
      <c r="G33" s="580">
        <v>15997.362049062049</v>
      </c>
      <c r="H33" s="580">
        <v>16217.507971996389</v>
      </c>
      <c r="I33" s="580">
        <v>13368.127268145161</v>
      </c>
      <c r="J33" s="580">
        <v>14389.21122117033</v>
      </c>
      <c r="K33" s="580">
        <v>15410.658843537412</v>
      </c>
      <c r="L33" s="580">
        <v>15385.398391812865</v>
      </c>
      <c r="M33" s="580">
        <v>15160.11618165785</v>
      </c>
      <c r="N33" s="580">
        <v>14712.390243902442</v>
      </c>
      <c r="O33" s="580">
        <v>12321.25</v>
      </c>
      <c r="P33" s="580">
        <v>11839.471111111108</v>
      </c>
      <c r="Q33" s="580">
        <v>12665.560952380953</v>
      </c>
      <c r="R33" s="580">
        <v>13781.44791666667</v>
      </c>
      <c r="S33" s="580">
        <v>13663.955902406415</v>
      </c>
      <c r="T33" s="580">
        <v>19313.125875439226</v>
      </c>
      <c r="U33" s="580">
        <v>36226.307708219872</v>
      </c>
      <c r="V33" s="580">
        <v>19684.329545454544</v>
      </c>
      <c r="W33" s="580">
        <v>17446.69099829124</v>
      </c>
      <c r="X33" s="580">
        <v>17078.634427085675</v>
      </c>
      <c r="Z33" s="597"/>
      <c r="AB33" s="578" t="s">
        <v>45</v>
      </c>
      <c r="AC33" s="579" t="s">
        <v>160</v>
      </c>
      <c r="AD33" s="580">
        <f t="shared" si="25"/>
        <v>17078.63</v>
      </c>
      <c r="AF33" s="701">
        <v>19760.339473684202</v>
      </c>
      <c r="AI33" s="699"/>
      <c r="AL33" s="588"/>
    </row>
    <row r="34" spans="2:38">
      <c r="B34" s="578" t="s">
        <v>46</v>
      </c>
      <c r="C34" s="579" t="s">
        <v>160</v>
      </c>
      <c r="E34" s="580">
        <v>6845.0499999999993</v>
      </c>
      <c r="F34" s="580">
        <v>8614.8964803312629</v>
      </c>
      <c r="G34" s="580">
        <v>17695.846153846149</v>
      </c>
      <c r="H34" s="580">
        <v>14343.680357142855</v>
      </c>
      <c r="I34" s="580">
        <v>11602.587719298246</v>
      </c>
      <c r="J34" s="580">
        <v>13109.866977225674</v>
      </c>
      <c r="K34" s="580">
        <v>12585.618235967153</v>
      </c>
      <c r="L34" s="580">
        <v>11572.582393162391</v>
      </c>
      <c r="M34" s="580">
        <v>12136.809523809521</v>
      </c>
      <c r="N34" s="580">
        <v>10729.714285714286</v>
      </c>
      <c r="O34" s="580">
        <v>8710.7142857142862</v>
      </c>
      <c r="P34" s="580">
        <v>9365.3234126984116</v>
      </c>
      <c r="Q34" s="580">
        <v>9948.4158730158724</v>
      </c>
      <c r="R34" s="580">
        <v>10424.399999999998</v>
      </c>
      <c r="S34" s="580">
        <v>12040.622727272726</v>
      </c>
      <c r="T34" s="580">
        <v>21557.882965909084</v>
      </c>
      <c r="U34" s="580">
        <v>21118.067806323743</v>
      </c>
      <c r="V34" s="580">
        <v>11197.24076923077</v>
      </c>
      <c r="W34" s="580">
        <v>12703.43519230769</v>
      </c>
      <c r="X34" s="580">
        <v>14074.657884231538</v>
      </c>
      <c r="Z34" s="597"/>
      <c r="AB34" s="578" t="s">
        <v>46</v>
      </c>
      <c r="AC34" s="579" t="s">
        <v>160</v>
      </c>
      <c r="AD34" s="580">
        <f t="shared" si="25"/>
        <v>14074.66</v>
      </c>
      <c r="AF34" s="701">
        <v>19050</v>
      </c>
      <c r="AI34" s="699"/>
      <c r="AL34" s="588"/>
    </row>
    <row r="35" spans="2:38" s="582" customFormat="1">
      <c r="B35" s="582" t="s">
        <v>444</v>
      </c>
      <c r="C35" s="583" t="s">
        <v>160</v>
      </c>
      <c r="E35" s="587">
        <f>SUM(E36*73%,E37*27%)</f>
        <v>1170.7590188745789</v>
      </c>
      <c r="F35" s="587">
        <f t="shared" ref="F35:X35" si="26">SUM(F36*73%,F37*27%)</f>
        <v>1525.3884474300119</v>
      </c>
      <c r="G35" s="587">
        <f t="shared" si="26"/>
        <v>1873.7755</v>
      </c>
      <c r="H35" s="587">
        <f t="shared" si="26"/>
        <v>2419.5166995926002</v>
      </c>
      <c r="I35" s="587">
        <f t="shared" si="26"/>
        <v>2426.4043674948243</v>
      </c>
      <c r="J35" s="587">
        <f t="shared" si="26"/>
        <v>2313.023544622426</v>
      </c>
      <c r="K35" s="587">
        <f t="shared" si="26"/>
        <v>2185.1804237405113</v>
      </c>
      <c r="L35" s="587">
        <f t="shared" si="26"/>
        <v>2292.3790833333333</v>
      </c>
      <c r="M35" s="587">
        <f t="shared" si="26"/>
        <v>2439.6818846153847</v>
      </c>
      <c r="N35" s="587">
        <f t="shared" si="26"/>
        <v>2727.4111600274719</v>
      </c>
      <c r="O35" s="587">
        <f t="shared" si="26"/>
        <v>2776.5147285714288</v>
      </c>
      <c r="P35" s="587">
        <f t="shared" si="26"/>
        <v>2754.8949118165783</v>
      </c>
      <c r="Q35" s="587">
        <f t="shared" si="26"/>
        <v>2817.0928956228963</v>
      </c>
      <c r="R35" s="587">
        <f t="shared" si="26"/>
        <v>3040.3940603693186</v>
      </c>
      <c r="S35" s="587">
        <f t="shared" si="26"/>
        <v>3135.2284923850266</v>
      </c>
      <c r="T35" s="587">
        <f t="shared" si="26"/>
        <v>3315.2941090909094</v>
      </c>
      <c r="U35" s="587">
        <f t="shared" si="26"/>
        <v>4038.9668714285713</v>
      </c>
      <c r="V35" s="587">
        <f t="shared" si="26"/>
        <v>4002.7709937062937</v>
      </c>
      <c r="W35" s="587">
        <f t="shared" si="26"/>
        <v>3863.7600531243752</v>
      </c>
      <c r="X35" s="587">
        <f t="shared" si="26"/>
        <v>3786.1452969647889</v>
      </c>
      <c r="Z35" s="598"/>
      <c r="AB35" s="582" t="s">
        <v>444</v>
      </c>
      <c r="AC35" s="583" t="s">
        <v>139</v>
      </c>
      <c r="AD35" s="587">
        <f t="shared" si="25"/>
        <v>3786.15</v>
      </c>
      <c r="AF35" s="587">
        <f t="shared" ref="AF35" si="27">SUM(AF36*73%,AF37*27%)</f>
        <v>3605.0578613333337</v>
      </c>
      <c r="AI35" s="699"/>
      <c r="AJ35" s="578"/>
      <c r="AL35" s="588"/>
    </row>
    <row r="36" spans="2:38">
      <c r="B36" s="578" t="s">
        <v>445</v>
      </c>
      <c r="C36" s="579" t="s">
        <v>160</v>
      </c>
      <c r="E36" s="580">
        <v>869.74559178743959</v>
      </c>
      <c r="F36" s="580">
        <v>1018.408002520479</v>
      </c>
      <c r="G36" s="580">
        <v>1287.7</v>
      </c>
      <c r="H36" s="580">
        <v>1648.9421224871435</v>
      </c>
      <c r="I36" s="580">
        <v>1641.8014492753621</v>
      </c>
      <c r="J36" s="580">
        <v>1528.4702517162473</v>
      </c>
      <c r="K36" s="580">
        <v>1492.1582125603866</v>
      </c>
      <c r="L36" s="580">
        <v>1705.9683333333335</v>
      </c>
      <c r="M36" s="580">
        <v>1772.6500000000003</v>
      </c>
      <c r="N36" s="580">
        <v>1998.2582589285712</v>
      </c>
      <c r="O36" s="580">
        <v>2038.5714285714287</v>
      </c>
      <c r="P36" s="580">
        <v>1999.6356261022927</v>
      </c>
      <c r="Q36" s="580">
        <v>2053.9638047138051</v>
      </c>
      <c r="R36" s="580">
        <v>2318.2585227272734</v>
      </c>
      <c r="S36" s="580">
        <v>2474.9978598930479</v>
      </c>
      <c r="T36" s="580">
        <v>2370.8399999999997</v>
      </c>
      <c r="U36" s="580">
        <v>3096.048571428571</v>
      </c>
      <c r="V36" s="580">
        <v>3061.977272727273</v>
      </c>
      <c r="W36" s="580">
        <v>2973.003452797202</v>
      </c>
      <c r="X36" s="580">
        <v>2993.2238908450704</v>
      </c>
      <c r="Z36" s="597"/>
      <c r="AB36" s="578" t="s">
        <v>445</v>
      </c>
      <c r="AC36" s="579" t="s">
        <v>139</v>
      </c>
      <c r="AD36" s="580">
        <f t="shared" si="25"/>
        <v>2993.22</v>
      </c>
      <c r="AF36" s="580">
        <v>2839.7933333333335</v>
      </c>
      <c r="AL36" s="588"/>
    </row>
    <row r="37" spans="2:38">
      <c r="B37" s="578" t="s">
        <v>446</v>
      </c>
      <c r="C37" s="579" t="s">
        <v>160</v>
      </c>
      <c r="E37" s="580">
        <v>1984.6101365546219</v>
      </c>
      <c r="F37" s="580">
        <v>2896.1133540372671</v>
      </c>
      <c r="G37" s="580">
        <v>3458.35</v>
      </c>
      <c r="H37" s="580">
        <v>4502.9220376925377</v>
      </c>
      <c r="I37" s="580">
        <v>4547.7381834215175</v>
      </c>
      <c r="J37" s="580">
        <v>4434.2231884057974</v>
      </c>
      <c r="K37" s="580">
        <v>4058.9071428571433</v>
      </c>
      <c r="L37" s="580">
        <v>3877.8599999999992</v>
      </c>
      <c r="M37" s="580">
        <v>4243.1384615384613</v>
      </c>
      <c r="N37" s="580">
        <v>4698.8245592948706</v>
      </c>
      <c r="O37" s="580">
        <v>4771.6947619047623</v>
      </c>
      <c r="P37" s="580">
        <v>4796.8922398589066</v>
      </c>
      <c r="Q37" s="580">
        <v>4880.3678451178457</v>
      </c>
      <c r="R37" s="580">
        <v>4992.8345880681818</v>
      </c>
      <c r="S37" s="580">
        <v>4920.2964987522282</v>
      </c>
      <c r="T37" s="580">
        <v>5868.8181818181838</v>
      </c>
      <c r="U37" s="580">
        <v>6588.3385714285714</v>
      </c>
      <c r="V37" s="580">
        <v>6546.3984615384616</v>
      </c>
      <c r="W37" s="580">
        <v>6272.1019725274728</v>
      </c>
      <c r="X37" s="580">
        <v>5929.9698394366205</v>
      </c>
      <c r="Z37" s="597"/>
      <c r="AB37" s="578" t="s">
        <v>446</v>
      </c>
      <c r="AC37" s="579" t="s">
        <v>139</v>
      </c>
      <c r="AD37" s="580">
        <f t="shared" si="25"/>
        <v>5929.97</v>
      </c>
      <c r="AF37" s="580">
        <v>5674.1063999999997</v>
      </c>
      <c r="AL37" s="588"/>
    </row>
    <row r="38" spans="2:38">
      <c r="B38" s="582" t="s">
        <v>381</v>
      </c>
      <c r="C38" s="583" t="s">
        <v>140</v>
      </c>
      <c r="E38" s="587">
        <f>SUM(E39*30%,E40*20%,E41*50%)</f>
        <v>26276.855274601519</v>
      </c>
      <c r="F38" s="587">
        <f t="shared" ref="F38:X38" si="28">SUM(F39*30%,F40*20%,F41*50%)</f>
        <v>27551.840714699796</v>
      </c>
      <c r="G38" s="587">
        <f t="shared" si="28"/>
        <v>28626.196887602426</v>
      </c>
      <c r="H38" s="587">
        <f t="shared" si="28"/>
        <v>30581.789831048882</v>
      </c>
      <c r="I38" s="587">
        <f t="shared" si="28"/>
        <v>31053.435017918422</v>
      </c>
      <c r="J38" s="587">
        <f t="shared" si="28"/>
        <v>30052.960748962891</v>
      </c>
      <c r="K38" s="587">
        <f t="shared" si="28"/>
        <v>29539.203199488136</v>
      </c>
      <c r="L38" s="587">
        <f t="shared" si="28"/>
        <v>28595.774306975276</v>
      </c>
      <c r="M38" s="587">
        <f t="shared" si="28"/>
        <v>30686.001785714285</v>
      </c>
      <c r="N38" s="587">
        <f t="shared" si="28"/>
        <v>29092.393749999999</v>
      </c>
      <c r="O38" s="587">
        <f t="shared" si="28"/>
        <v>30284.636904761908</v>
      </c>
      <c r="P38" s="587">
        <f t="shared" si="28"/>
        <v>30491.919196428571</v>
      </c>
      <c r="Q38" s="587">
        <f t="shared" si="28"/>
        <v>30884.749451144096</v>
      </c>
      <c r="R38" s="587">
        <f t="shared" si="28"/>
        <v>31601.923157081015</v>
      </c>
      <c r="S38" s="587">
        <f t="shared" si="28"/>
        <v>31697.621291540247</v>
      </c>
      <c r="T38" s="587">
        <f t="shared" si="28"/>
        <v>32372.852427439797</v>
      </c>
      <c r="U38" s="587">
        <f t="shared" si="28"/>
        <v>35713.65</v>
      </c>
      <c r="V38" s="587">
        <f t="shared" si="28"/>
        <v>32738.825680219779</v>
      </c>
      <c r="W38" s="587">
        <f t="shared" si="28"/>
        <v>30131.33206804029</v>
      </c>
      <c r="X38" s="587">
        <f t="shared" si="28"/>
        <v>28123.407939521981</v>
      </c>
      <c r="Z38" s="597"/>
      <c r="AB38" s="582" t="s">
        <v>381</v>
      </c>
      <c r="AC38" s="583" t="s">
        <v>140</v>
      </c>
      <c r="AD38" s="587">
        <f ca="1">ROUND(LOOKUP(MID($AD$3,1,4),$E$132:$U$132,E38:Y38),2)</f>
        <v>35713.65</v>
      </c>
      <c r="AF38" s="587">
        <f t="shared" ref="AF38" si="29">SUM(AF39*30%,AF40*20%,AF41*50%)</f>
        <v>28895.936763636364</v>
      </c>
      <c r="AL38" s="588"/>
    </row>
    <row r="39" spans="2:38">
      <c r="B39" s="578" t="s">
        <v>330</v>
      </c>
      <c r="C39" s="579" t="s">
        <v>140</v>
      </c>
      <c r="E39" s="580">
        <v>29452.790313676629</v>
      </c>
      <c r="F39" s="580">
        <v>29938.223602484471</v>
      </c>
      <c r="G39" s="580">
        <v>31462.234890109889</v>
      </c>
      <c r="H39" s="580">
        <v>32975.758067689887</v>
      </c>
      <c r="I39" s="580">
        <v>32635.351587301589</v>
      </c>
      <c r="J39" s="580">
        <v>30926.262254901962</v>
      </c>
      <c r="K39" s="580">
        <v>31083.811700767263</v>
      </c>
      <c r="L39" s="580">
        <v>31299.214542483664</v>
      </c>
      <c r="M39" s="580">
        <v>33440.361111111109</v>
      </c>
      <c r="N39" s="580">
        <v>32849.8125</v>
      </c>
      <c r="O39" s="580">
        <v>34876.25</v>
      </c>
      <c r="P39" s="580">
        <v>34616.523809523816</v>
      </c>
      <c r="Q39" s="580">
        <v>34315.657029478461</v>
      </c>
      <c r="R39" s="580">
        <v>34052.786281179135</v>
      </c>
      <c r="S39" s="580">
        <v>33351.050310526312</v>
      </c>
      <c r="T39" s="580">
        <v>35195.097542091193</v>
      </c>
      <c r="U39" s="580">
        <v>39985</v>
      </c>
      <c r="V39" s="580">
        <v>36721.872999999992</v>
      </c>
      <c r="W39" s="580">
        <v>34365.55022222222</v>
      </c>
      <c r="X39" s="580">
        <v>32564.041139564659</v>
      </c>
      <c r="Z39" s="597"/>
      <c r="AB39" s="578" t="s">
        <v>330</v>
      </c>
      <c r="AC39" s="579" t="s">
        <v>140</v>
      </c>
      <c r="AD39" s="580">
        <f>ROUND(LOOKUP(MID($AD$3,1,4),$E$132:$Y$132,E39:Y39),2)</f>
        <v>32564.04</v>
      </c>
      <c r="AF39" s="701">
        <v>31882.174545454549</v>
      </c>
      <c r="AL39" s="588"/>
    </row>
    <row r="40" spans="2:38">
      <c r="B40" s="578" t="s">
        <v>335</v>
      </c>
      <c r="C40" s="579" t="s">
        <v>140</v>
      </c>
      <c r="E40" s="580">
        <v>22139.765518907669</v>
      </c>
      <c r="F40" s="580">
        <v>22474.221273776198</v>
      </c>
      <c r="G40" s="580">
        <v>24496.820874854609</v>
      </c>
      <c r="H40" s="580">
        <v>25575.083115077003</v>
      </c>
      <c r="I40" s="580">
        <v>25016.350436510133</v>
      </c>
      <c r="J40" s="580">
        <v>24353.706478848235</v>
      </c>
      <c r="K40" s="580">
        <v>23655</v>
      </c>
      <c r="L40" s="580">
        <v>21859.375</v>
      </c>
      <c r="M40" s="580">
        <v>25511.645833333336</v>
      </c>
      <c r="N40" s="580">
        <v>24358.5</v>
      </c>
      <c r="O40" s="580">
        <v>24327.023809523809</v>
      </c>
      <c r="P40" s="580">
        <v>23415.267857142859</v>
      </c>
      <c r="Q40" s="580">
        <v>25747.311224489793</v>
      </c>
      <c r="R40" s="580">
        <v>29489.3</v>
      </c>
      <c r="S40" s="580">
        <v>29302.935829411766</v>
      </c>
      <c r="T40" s="580">
        <v>29829.258748961933</v>
      </c>
      <c r="U40" s="580">
        <v>29466.166666666668</v>
      </c>
      <c r="V40" s="580">
        <v>24499.988452380949</v>
      </c>
      <c r="W40" s="580">
        <v>20715.01484126984</v>
      </c>
      <c r="X40" s="580">
        <v>18733.542894366197</v>
      </c>
      <c r="Z40" s="597"/>
      <c r="AB40" s="578" t="s">
        <v>335</v>
      </c>
      <c r="AC40" s="579" t="s">
        <v>140</v>
      </c>
      <c r="AD40" s="580">
        <f>ROUND(LOOKUP(MID($AD$3,1,4),$E$132:$Y$132,E40:Y40),2)</f>
        <v>18733.54</v>
      </c>
      <c r="AF40" s="701">
        <v>19756.647000000001</v>
      </c>
      <c r="AL40" s="588"/>
    </row>
    <row r="41" spans="2:38">
      <c r="B41" s="578" t="s">
        <v>447</v>
      </c>
      <c r="C41" s="579" t="s">
        <v>140</v>
      </c>
      <c r="E41" s="580">
        <v>26026.130153433998</v>
      </c>
      <c r="F41" s="580">
        <v>28151.058758398431</v>
      </c>
      <c r="G41" s="580">
        <v>28576.324491197076</v>
      </c>
      <c r="H41" s="580">
        <v>31148.091575453025</v>
      </c>
      <c r="I41" s="580">
        <v>32519.118908851837</v>
      </c>
      <c r="J41" s="580">
        <v>31808.681553445313</v>
      </c>
      <c r="K41" s="580">
        <v>30966.119378515916</v>
      </c>
      <c r="L41" s="580">
        <v>29668.26988846036</v>
      </c>
      <c r="M41" s="580">
        <v>31103.12857142857</v>
      </c>
      <c r="N41" s="580">
        <v>28731.5</v>
      </c>
      <c r="O41" s="580">
        <v>29912.714285714286</v>
      </c>
      <c r="P41" s="580">
        <v>30847.816964285714</v>
      </c>
      <c r="Q41" s="580">
        <v>30881.180194805194</v>
      </c>
      <c r="R41" s="580">
        <v>30976.454545454544</v>
      </c>
      <c r="S41" s="580">
        <v>31663.438065000002</v>
      </c>
      <c r="T41" s="580">
        <v>31696.942830040105</v>
      </c>
      <c r="U41" s="580">
        <v>35649.833333333336</v>
      </c>
      <c r="V41" s="580">
        <v>33644.532179487185</v>
      </c>
      <c r="W41" s="580">
        <v>31357.328066239315</v>
      </c>
      <c r="X41" s="580">
        <v>29214.974037558684</v>
      </c>
      <c r="Z41" s="597"/>
      <c r="AB41" s="578" t="s">
        <v>447</v>
      </c>
      <c r="AC41" s="579" t="s">
        <v>140</v>
      </c>
      <c r="AD41" s="580">
        <f>ROUND(LOOKUP(MID($AD$3,1,4),$E$132:$Y$132,E41:Y41),2)</f>
        <v>29214.97</v>
      </c>
      <c r="AF41" s="701">
        <v>30759.91</v>
      </c>
      <c r="AL41" s="588"/>
    </row>
    <row r="42" spans="2:38">
      <c r="B42" s="582" t="s">
        <v>382</v>
      </c>
      <c r="C42" s="583" t="s">
        <v>165</v>
      </c>
      <c r="E42" s="602">
        <f>SUM(E43*67%,E44*33%)</f>
        <v>59818.746963369529</v>
      </c>
      <c r="F42" s="602">
        <f t="shared" ref="F42:X42" si="30">SUM(F43*67%,F44*33%)</f>
        <v>73990.008102787659</v>
      </c>
      <c r="G42" s="602">
        <f t="shared" si="30"/>
        <v>75941.689516647995</v>
      </c>
      <c r="H42" s="602">
        <f t="shared" si="30"/>
        <v>76529.1697310046</v>
      </c>
      <c r="I42" s="602">
        <f t="shared" si="30"/>
        <v>81029.770805756081</v>
      </c>
      <c r="J42" s="602">
        <f t="shared" si="30"/>
        <v>81594.876151856777</v>
      </c>
      <c r="K42" s="602">
        <f t="shared" si="30"/>
        <v>83478.675060167559</v>
      </c>
      <c r="L42" s="602">
        <f t="shared" si="30"/>
        <v>82163.066428388498</v>
      </c>
      <c r="M42" s="602">
        <f t="shared" si="30"/>
        <v>88018.671885601652</v>
      </c>
      <c r="N42" s="602">
        <f t="shared" si="30"/>
        <v>87888.463173805736</v>
      </c>
      <c r="O42" s="602">
        <f t="shared" si="30"/>
        <v>91207.610764604367</v>
      </c>
      <c r="P42" s="602">
        <f t="shared" si="30"/>
        <v>91171.892743862947</v>
      </c>
      <c r="Q42" s="602">
        <f t="shared" si="30"/>
        <v>91259.662698722925</v>
      </c>
      <c r="R42" s="602">
        <f t="shared" si="30"/>
        <v>91058.357204087122</v>
      </c>
      <c r="S42" s="602">
        <f t="shared" si="30"/>
        <v>111335.58835061782</v>
      </c>
      <c r="T42" s="602">
        <f t="shared" si="30"/>
        <v>116709.63590205119</v>
      </c>
      <c r="U42" s="602">
        <f t="shared" si="30"/>
        <v>119827.41500000001</v>
      </c>
      <c r="V42" s="602">
        <f t="shared" si="30"/>
        <v>125826.67697346154</v>
      </c>
      <c r="W42" s="602">
        <f t="shared" si="30"/>
        <v>124983.73857399574</v>
      </c>
      <c r="X42" s="602">
        <f t="shared" si="30"/>
        <v>107138.44686762129</v>
      </c>
      <c r="Z42" s="597"/>
      <c r="AB42" s="582" t="s">
        <v>382</v>
      </c>
      <c r="AC42" s="583" t="s">
        <v>165</v>
      </c>
      <c r="AD42" s="587">
        <f>ROUND(LOOKUP(MID($AD$3,1,4),$E$132:$Y$132,E42:Y42),2)</f>
        <v>107138.45</v>
      </c>
      <c r="AF42" s="587">
        <f t="shared" ref="AF42" si="31">SUM(AF43*67%,AF44*33%)</f>
        <v>97842.965326666657</v>
      </c>
      <c r="AL42" s="588"/>
    </row>
    <row r="43" spans="2:38">
      <c r="B43" s="578" t="s">
        <v>327</v>
      </c>
      <c r="C43" s="579" t="s">
        <v>139</v>
      </c>
      <c r="E43" s="601">
        <v>82193.077914399983</v>
      </c>
      <c r="F43" s="601">
        <v>101664.892857143</v>
      </c>
      <c r="G43" s="601">
        <v>103350</v>
      </c>
      <c r="H43" s="601">
        <v>101470.25194943517</v>
      </c>
      <c r="I43" s="601">
        <v>107437.612193694</v>
      </c>
      <c r="J43" s="601">
        <v>108186.88703946014</v>
      </c>
      <c r="K43" s="601">
        <v>110684.62157023115</v>
      </c>
      <c r="L43" s="601">
        <v>108940.25220358705</v>
      </c>
      <c r="M43" s="601">
        <v>116704.21675655915</v>
      </c>
      <c r="N43" s="601">
        <v>116531.57264140173</v>
      </c>
      <c r="O43" s="601">
        <v>120932.44022535057</v>
      </c>
      <c r="P43" s="601">
        <v>120885.08159626173</v>
      </c>
      <c r="Q43" s="601">
        <v>121001.45603838016</v>
      </c>
      <c r="R43" s="601">
        <v>120734.54448908074</v>
      </c>
      <c r="S43" s="601">
        <v>147620.18509523809</v>
      </c>
      <c r="T43" s="601">
        <v>154745.65060007639</v>
      </c>
      <c r="U43" s="601">
        <v>156482</v>
      </c>
      <c r="V43" s="601">
        <v>170428.07692307691</v>
      </c>
      <c r="W43" s="601">
        <v>172469.27521367522</v>
      </c>
      <c r="X43" s="601">
        <v>147963.49376056337</v>
      </c>
      <c r="Z43" s="597"/>
      <c r="AB43" s="578" t="s">
        <v>327</v>
      </c>
      <c r="AC43" s="579" t="s">
        <v>139</v>
      </c>
      <c r="AD43" s="580">
        <f t="shared" ref="AD43:AD49" si="32">ROUND(LOOKUP(MID($AD$3,1,4),$E$132:$Y$132,E43:Y43),2)</f>
        <v>147963.49</v>
      </c>
      <c r="AF43" s="705">
        <v>134019.83799999999</v>
      </c>
      <c r="AL43" s="588"/>
    </row>
    <row r="44" spans="2:38">
      <c r="B44" s="578" t="s">
        <v>340</v>
      </c>
      <c r="C44" s="579" t="s">
        <v>140</v>
      </c>
      <c r="E44" s="601">
        <v>14392.075032489505</v>
      </c>
      <c r="F44" s="601">
        <v>17801.605722732835</v>
      </c>
      <c r="G44" s="601">
        <v>20294.513686812101</v>
      </c>
      <c r="H44" s="601">
        <v>25891.214923887946</v>
      </c>
      <c r="I44" s="601">
        <v>27413.850412063945</v>
      </c>
      <c r="J44" s="601">
        <v>27605.035864904461</v>
      </c>
      <c r="K44" s="601">
        <v>28242.359418523254</v>
      </c>
      <c r="L44" s="601">
        <v>27797.265006015688</v>
      </c>
      <c r="M44" s="601">
        <v>29778.323208203063</v>
      </c>
      <c r="N44" s="601">
        <v>29734.27122444419</v>
      </c>
      <c r="O44" s="601">
        <v>30857.19943521055</v>
      </c>
      <c r="P44" s="601">
        <v>30845.115376871458</v>
      </c>
      <c r="Q44" s="601">
        <v>30874.809554570329</v>
      </c>
      <c r="R44" s="601">
        <v>30806.704231524291</v>
      </c>
      <c r="S44" s="601">
        <v>37666.861626691811</v>
      </c>
      <c r="T44" s="601">
        <v>39485</v>
      </c>
      <c r="U44" s="601">
        <v>45407.5</v>
      </c>
      <c r="V44" s="601">
        <v>35272.319499999998</v>
      </c>
      <c r="W44" s="601">
        <v>28573.709638888889</v>
      </c>
      <c r="X44" s="601">
        <v>24251.230448617633</v>
      </c>
      <c r="Z44" s="597"/>
      <c r="AB44" s="578" t="s">
        <v>340</v>
      </c>
      <c r="AC44" s="579" t="s">
        <v>140</v>
      </c>
      <c r="AD44" s="580">
        <f t="shared" si="32"/>
        <v>24251.23</v>
      </c>
      <c r="AF44" s="705">
        <v>24392.95111111111</v>
      </c>
      <c r="AL44" s="588"/>
    </row>
    <row r="45" spans="2:38">
      <c r="B45" s="578" t="s">
        <v>383</v>
      </c>
      <c r="C45" s="579" t="s">
        <v>139</v>
      </c>
      <c r="E45" s="580">
        <v>3958.3263473629358</v>
      </c>
      <c r="F45" s="580">
        <v>4896.0670923817024</v>
      </c>
      <c r="G45" s="580">
        <v>5581.7043791169262</v>
      </c>
      <c r="H45" s="580">
        <v>7120.9938780269385</v>
      </c>
      <c r="I45" s="580">
        <v>7539.7721401379258</v>
      </c>
      <c r="J45" s="580">
        <v>7592.3548576058884</v>
      </c>
      <c r="K45" s="580">
        <v>7767.64122933403</v>
      </c>
      <c r="L45" s="580">
        <v>7645.2246260217571</v>
      </c>
      <c r="M45" s="580">
        <v>8006.3907001868884</v>
      </c>
      <c r="N45" s="580">
        <v>8007.2471661145955</v>
      </c>
      <c r="O45" s="580">
        <v>8209.1739831121031</v>
      </c>
      <c r="P45" s="580">
        <v>8504.4986833927269</v>
      </c>
      <c r="Q45" s="580">
        <v>8727.5060368546638</v>
      </c>
      <c r="R45" s="580">
        <v>8916.1733930911687</v>
      </c>
      <c r="S45" s="580">
        <v>10223.149725087902</v>
      </c>
      <c r="T45" s="580">
        <v>10581.993584936852</v>
      </c>
      <c r="U45" s="580">
        <v>11125.901662777384</v>
      </c>
      <c r="V45" s="580">
        <v>11285.559255672491</v>
      </c>
      <c r="W45" s="580">
        <v>11461.660618750688</v>
      </c>
      <c r="X45" s="580">
        <v>10538.941242191426</v>
      </c>
      <c r="Z45" s="597"/>
      <c r="AB45" s="578" t="s">
        <v>383</v>
      </c>
      <c r="AC45" s="579" t="s">
        <v>139</v>
      </c>
      <c r="AD45" s="580">
        <f t="shared" si="32"/>
        <v>10538.94</v>
      </c>
      <c r="AF45" s="705">
        <v>10821.888951084922</v>
      </c>
      <c r="AL45" s="588"/>
    </row>
    <row r="46" spans="2:38">
      <c r="B46" s="578" t="s">
        <v>508</v>
      </c>
      <c r="C46" s="579" t="s">
        <v>140</v>
      </c>
      <c r="E46" s="580">
        <v>2404.7853824633767</v>
      </c>
      <c r="F46" s="580">
        <v>2446.8209959038336</v>
      </c>
      <c r="G46" s="580">
        <v>2649.0627909055142</v>
      </c>
      <c r="H46" s="580">
        <v>2978.65629523494</v>
      </c>
      <c r="I46" s="580">
        <v>3256.1551912262735</v>
      </c>
      <c r="J46" s="580">
        <v>3329.5258849699117</v>
      </c>
      <c r="K46" s="580">
        <v>3314.731952598207</v>
      </c>
      <c r="L46" s="580">
        <v>4430.2981009258501</v>
      </c>
      <c r="M46" s="580">
        <v>4895.0272138363698</v>
      </c>
      <c r="N46" s="580">
        <v>5019.919756102865</v>
      </c>
      <c r="O46" s="580">
        <v>5322.171271119063</v>
      </c>
      <c r="P46" s="580">
        <v>5442.1896815638265</v>
      </c>
      <c r="Q46" s="580">
        <v>5563.7432779283945</v>
      </c>
      <c r="R46" s="580">
        <v>5775.5071330384371</v>
      </c>
      <c r="S46" s="580">
        <v>6332.4257126984121</v>
      </c>
      <c r="T46" s="580">
        <v>8201.6094206816069</v>
      </c>
      <c r="U46" s="580">
        <v>9561.941960784312</v>
      </c>
      <c r="V46" s="580">
        <v>10672.4</v>
      </c>
      <c r="W46" s="580">
        <v>11565.5</v>
      </c>
      <c r="X46" s="580">
        <v>12025.820857785602</v>
      </c>
      <c r="Z46" s="597"/>
      <c r="AB46" s="578" t="s">
        <v>508</v>
      </c>
      <c r="AC46" s="579" t="s">
        <v>140</v>
      </c>
      <c r="AD46" s="580">
        <f t="shared" si="32"/>
        <v>12025.82</v>
      </c>
      <c r="AF46" s="705">
        <v>11518.293750000001</v>
      </c>
      <c r="AL46" s="588"/>
    </row>
    <row r="47" spans="2:38">
      <c r="B47" s="578" t="s">
        <v>385</v>
      </c>
      <c r="C47" s="579" t="s">
        <v>140</v>
      </c>
      <c r="E47" s="580">
        <v>4071.0513440048321</v>
      </c>
      <c r="F47" s="580">
        <v>4188.7346938775509</v>
      </c>
      <c r="G47" s="580">
        <v>4328.9471247830734</v>
      </c>
      <c r="H47" s="580">
        <v>4710</v>
      </c>
      <c r="I47" s="580">
        <v>5155</v>
      </c>
      <c r="J47" s="580">
        <v>5260</v>
      </c>
      <c r="K47" s="580">
        <v>4043.75</v>
      </c>
      <c r="L47" s="580">
        <v>4457.7777777777774</v>
      </c>
      <c r="M47" s="580">
        <v>5326</v>
      </c>
      <c r="N47" s="580">
        <v>5238.8</v>
      </c>
      <c r="O47" s="580">
        <v>5440.909090909091</v>
      </c>
      <c r="P47" s="580">
        <v>5838.5</v>
      </c>
      <c r="Q47" s="580">
        <v>5465.3269230769229</v>
      </c>
      <c r="R47" s="580">
        <v>5092.1538461538457</v>
      </c>
      <c r="S47" s="580">
        <v>5536.8094438592798</v>
      </c>
      <c r="T47" s="580">
        <v>6341.4622222222224</v>
      </c>
      <c r="U47" s="580">
        <v>7995.6963064382317</v>
      </c>
      <c r="V47" s="580">
        <v>8349.3573927411617</v>
      </c>
      <c r="W47" s="580">
        <v>8960.3762652875539</v>
      </c>
      <c r="X47" s="580">
        <v>8703.3724505204627</v>
      </c>
      <c r="Z47" s="597"/>
      <c r="AB47" s="578" t="s">
        <v>385</v>
      </c>
      <c r="AC47" s="579" t="s">
        <v>140</v>
      </c>
      <c r="AD47" s="580">
        <f t="shared" si="32"/>
        <v>8703.3700000000008</v>
      </c>
      <c r="AF47" s="705">
        <v>8260.2478655303021</v>
      </c>
      <c r="AL47" s="588"/>
    </row>
    <row r="48" spans="2:38">
      <c r="B48" s="578" t="s">
        <v>386</v>
      </c>
      <c r="C48" s="579" t="s">
        <v>140</v>
      </c>
      <c r="E48" s="580">
        <v>2240.3826087633415</v>
      </c>
      <c r="F48" s="580">
        <v>2854.9117708160798</v>
      </c>
      <c r="G48" s="580">
        <v>5792.7895687496448</v>
      </c>
      <c r="H48" s="580">
        <v>2907.8082906731684</v>
      </c>
      <c r="I48" s="580">
        <v>2181.8526056227438</v>
      </c>
      <c r="J48" s="580">
        <v>2091.0580730042016</v>
      </c>
      <c r="K48" s="580">
        <v>2322.1888168406385</v>
      </c>
      <c r="L48" s="580">
        <v>2617.103648969025</v>
      </c>
      <c r="M48" s="580">
        <v>3036.6106914555362</v>
      </c>
      <c r="N48" s="580">
        <v>2908.6634834389197</v>
      </c>
      <c r="O48" s="580">
        <v>2937.798427357643</v>
      </c>
      <c r="P48" s="580">
        <v>3016.2872528236157</v>
      </c>
      <c r="Q48" s="580">
        <v>3060.8524432657437</v>
      </c>
      <c r="R48" s="580">
        <v>3041.086852948134</v>
      </c>
      <c r="S48" s="580">
        <v>3284.9765644385279</v>
      </c>
      <c r="T48" s="580">
        <v>4240.229277733255</v>
      </c>
      <c r="U48" s="580">
        <v>4918.3828343396435</v>
      </c>
      <c r="V48" s="580">
        <v>5002.5754192714649</v>
      </c>
      <c r="W48" s="580">
        <v>3375.7772127995577</v>
      </c>
      <c r="X48" s="580">
        <v>3231.9443123248129</v>
      </c>
      <c r="Z48" s="597"/>
      <c r="AB48" s="578" t="s">
        <v>386</v>
      </c>
      <c r="AC48" s="579" t="s">
        <v>140</v>
      </c>
      <c r="AD48" s="580">
        <f t="shared" si="32"/>
        <v>3231.94</v>
      </c>
      <c r="AF48" s="705">
        <v>2933.2215307388365</v>
      </c>
      <c r="AL48" s="588"/>
    </row>
    <row r="49" spans="2:38">
      <c r="B49" s="578" t="s">
        <v>501</v>
      </c>
      <c r="C49" s="579" t="s">
        <v>140</v>
      </c>
      <c r="E49" s="586">
        <v>3568.6791726769479</v>
      </c>
      <c r="F49" s="586">
        <v>4547.5554650753966</v>
      </c>
      <c r="G49" s="586">
        <v>9227.2665413646082</v>
      </c>
      <c r="H49" s="586">
        <v>4631.8137109583549</v>
      </c>
      <c r="I49" s="586">
        <v>3475.4474173653571</v>
      </c>
      <c r="J49" s="586">
        <v>3330.8218715852186</v>
      </c>
      <c r="K49" s="586">
        <v>3698.9873217489826</v>
      </c>
      <c r="L49" s="586">
        <v>4168.7536978194667</v>
      </c>
      <c r="M49" s="586">
        <v>4836.9815440172579</v>
      </c>
      <c r="N49" s="586">
        <v>4633.1759374815501</v>
      </c>
      <c r="O49" s="586">
        <v>4679.5846478300255</v>
      </c>
      <c r="P49" s="586">
        <v>4804.6085770609816</v>
      </c>
      <c r="Q49" s="586">
        <v>4875.5959460644353</v>
      </c>
      <c r="R49" s="586">
        <v>4844.1115691431851</v>
      </c>
      <c r="S49" s="586">
        <v>5232.600629191008</v>
      </c>
      <c r="T49" s="586">
        <v>6754.2114688947458</v>
      </c>
      <c r="U49" s="586">
        <v>7834.4343129177514</v>
      </c>
      <c r="V49" s="586">
        <v>7968.5436936836886</v>
      </c>
      <c r="W49" s="580">
        <v>8635.3764935064937</v>
      </c>
      <c r="X49" s="580">
        <v>7745.9637946428575</v>
      </c>
      <c r="Z49" s="597"/>
      <c r="AB49" s="578" t="s">
        <v>501</v>
      </c>
      <c r="AC49" s="579" t="s">
        <v>140</v>
      </c>
      <c r="AD49" s="580">
        <f t="shared" si="32"/>
        <v>7745.96</v>
      </c>
      <c r="AF49" s="705">
        <v>7519.7119047619035</v>
      </c>
      <c r="AL49" s="588"/>
    </row>
    <row r="50" spans="2:38">
      <c r="B50" s="578" t="s">
        <v>387</v>
      </c>
      <c r="C50" s="579" t="s">
        <v>140</v>
      </c>
      <c r="E50" s="580">
        <v>2216.6371557786679</v>
      </c>
      <c r="F50" s="580">
        <v>2280.7142857142858</v>
      </c>
      <c r="G50" s="580">
        <v>2250.483464332</v>
      </c>
      <c r="H50" s="580">
        <v>2581.20661254058</v>
      </c>
      <c r="I50" s="580">
        <v>4441.2164984485853</v>
      </c>
      <c r="J50" s="580">
        <v>4019.8860312392512</v>
      </c>
      <c r="K50" s="580">
        <v>4096.6015860939406</v>
      </c>
      <c r="L50" s="580">
        <v>3027.6864730279494</v>
      </c>
      <c r="M50" s="580">
        <v>4459.727272727273</v>
      </c>
      <c r="N50" s="580">
        <v>4639.272727272727</v>
      </c>
      <c r="O50" s="580">
        <v>5021.1152073732719</v>
      </c>
      <c r="P50" s="580">
        <v>4715.2</v>
      </c>
      <c r="Q50" s="580">
        <v>4355.9750000000004</v>
      </c>
      <c r="R50" s="580">
        <v>3996.75</v>
      </c>
      <c r="S50" s="580">
        <v>4019.760583058307</v>
      </c>
      <c r="T50" s="580">
        <v>4604.2630769230764</v>
      </c>
      <c r="U50" s="580">
        <v>5443.2451735734321</v>
      </c>
      <c r="V50" s="580">
        <v>5910.2255765038353</v>
      </c>
      <c r="W50" s="580">
        <v>6331.2278084415584</v>
      </c>
      <c r="X50" s="580">
        <v>5843.1226559356137</v>
      </c>
      <c r="Z50" s="597"/>
      <c r="AB50" s="578" t="s">
        <v>387</v>
      </c>
      <c r="AC50" s="579" t="s">
        <v>140</v>
      </c>
      <c r="AD50" s="580">
        <f>ROUND(LOOKUP(MID($AD$3,1,4),$E$132:$Y$132,E50:Y50),2)</f>
        <v>5843.12</v>
      </c>
      <c r="AF50" s="580">
        <v>5650.9171428571426</v>
      </c>
      <c r="AL50" s="588"/>
    </row>
    <row r="51" spans="2:38">
      <c r="Z51" s="597"/>
      <c r="AC51" s="579"/>
    </row>
    <row r="52" spans="2:38">
      <c r="B52" s="576" t="s">
        <v>450</v>
      </c>
      <c r="Z52" s="597"/>
      <c r="AB52" s="576" t="s">
        <v>450</v>
      </c>
      <c r="AC52" s="579"/>
    </row>
    <row r="53" spans="2:38">
      <c r="Z53" s="597"/>
      <c r="AC53" s="579"/>
    </row>
    <row r="54" spans="2:38">
      <c r="B54" s="582" t="s">
        <v>451</v>
      </c>
      <c r="Z54" s="597"/>
      <c r="AB54" s="582" t="s">
        <v>451</v>
      </c>
      <c r="AC54" s="579"/>
    </row>
    <row r="55" spans="2:38">
      <c r="B55" s="590" t="s">
        <v>452</v>
      </c>
      <c r="C55" s="579" t="s">
        <v>139</v>
      </c>
      <c r="E55" s="580">
        <v>5.6112129352432722</v>
      </c>
      <c r="F55" s="580">
        <v>6.2292291939837137</v>
      </c>
      <c r="G55" s="580">
        <v>7.0996565043899409</v>
      </c>
      <c r="H55" s="580">
        <v>7.5302351925666597</v>
      </c>
      <c r="I55" s="580">
        <v>8.9003434591685338</v>
      </c>
      <c r="J55" s="580">
        <v>9.2704438855896143</v>
      </c>
      <c r="K55" s="580">
        <v>9.9134374220111141</v>
      </c>
      <c r="L55" s="580">
        <v>10.707731036491642</v>
      </c>
      <c r="M55" s="580">
        <v>11.010542513592412</v>
      </c>
      <c r="N55" s="580">
        <v>11.327126696142617</v>
      </c>
      <c r="O55" s="580">
        <v>11.045666777219692</v>
      </c>
      <c r="P55" s="580">
        <v>11.124461303049266</v>
      </c>
      <c r="Q55" s="580">
        <v>11.593397112435056</v>
      </c>
      <c r="R55" s="580">
        <v>12.206500713203933</v>
      </c>
      <c r="S55" s="580">
        <v>12.577418987999273</v>
      </c>
      <c r="T55" s="580">
        <v>12.57886402453601</v>
      </c>
      <c r="U55" s="580">
        <v>13.904195250912103</v>
      </c>
      <c r="V55" s="580">
        <v>15.483654069450738</v>
      </c>
      <c r="W55" s="580">
        <v>14.914965354091173</v>
      </c>
      <c r="X55" s="580">
        <v>14.31885595665929</v>
      </c>
      <c r="Z55" s="597"/>
      <c r="AB55" s="590" t="s">
        <v>452</v>
      </c>
      <c r="AC55" s="579" t="s">
        <v>139</v>
      </c>
      <c r="AD55" s="580">
        <f>ROUND(LOOKUP(MID($AD$3,1,4),$E$132:$Y$132,E55:Y55),4)</f>
        <v>14.318899999999999</v>
      </c>
      <c r="AF55" s="580">
        <v>14.757300000000001</v>
      </c>
      <c r="AL55" s="588"/>
    </row>
    <row r="56" spans="2:38">
      <c r="B56" s="590" t="s">
        <v>453</v>
      </c>
      <c r="C56" s="579" t="s">
        <v>139</v>
      </c>
      <c r="E56" s="580">
        <v>3.9373294138943065</v>
      </c>
      <c r="F56" s="580">
        <v>4.3709849571584396</v>
      </c>
      <c r="G56" s="580">
        <v>4.9817546947304763</v>
      </c>
      <c r="H56" s="580">
        <v>5.2838872556436582</v>
      </c>
      <c r="I56" s="580">
        <v>6.2452778926713055</v>
      </c>
      <c r="J56" s="580">
        <v>6.5049734900153346</v>
      </c>
      <c r="K56" s="580">
        <v>6.9561553277237502</v>
      </c>
      <c r="L56" s="580">
        <v>7.5135028473517904</v>
      </c>
      <c r="M56" s="580">
        <v>7.7259824929138334</v>
      </c>
      <c r="N56" s="580">
        <v>7.9481263018039812</v>
      </c>
      <c r="O56" s="580">
        <v>7.7506288212419649</v>
      </c>
      <c r="P56" s="580">
        <v>7.8059181156927355</v>
      </c>
      <c r="Q56" s="580">
        <v>8.1349654672780414</v>
      </c>
      <c r="R56" s="580">
        <v>8.5651738498382297</v>
      </c>
      <c r="S56" s="580">
        <v>8.8254433228304006</v>
      </c>
      <c r="T56" s="580">
        <v>8.8264572898507048</v>
      </c>
      <c r="U56" s="580">
        <v>9.7564283461954009</v>
      </c>
      <c r="V56" s="580">
        <v>10.864718075356659</v>
      </c>
      <c r="W56" s="580">
        <v>10.465675153233459</v>
      </c>
      <c r="X56" s="580">
        <v>10.047391425366767</v>
      </c>
      <c r="Z56" s="597"/>
      <c r="AB56" s="590" t="s">
        <v>453</v>
      </c>
      <c r="AC56" s="579" t="s">
        <v>139</v>
      </c>
      <c r="AD56" s="580">
        <f>ROUND(LOOKUP(MID($AD$3,1,4),$E$132:$Y$132,E56:Y56),4)</f>
        <v>10.0474</v>
      </c>
      <c r="AF56" s="580">
        <v>10.3551</v>
      </c>
      <c r="AL56" s="588"/>
    </row>
    <row r="57" spans="2:38">
      <c r="B57" s="590" t="s">
        <v>454</v>
      </c>
      <c r="C57" s="579" t="s">
        <v>139</v>
      </c>
      <c r="E57" s="580">
        <v>2.6319204909792142</v>
      </c>
      <c r="F57" s="580">
        <v>2.9217989315069324</v>
      </c>
      <c r="G57" s="580">
        <v>3.3300699240007781</v>
      </c>
      <c r="H57" s="580">
        <v>3.5320314046057062</v>
      </c>
      <c r="I57" s="580">
        <v>4.174676063317655</v>
      </c>
      <c r="J57" s="580">
        <v>4.3482704193435602</v>
      </c>
      <c r="K57" s="580">
        <v>4.6498643676761526</v>
      </c>
      <c r="L57" s="580">
        <v>5.0224251070262831</v>
      </c>
      <c r="M57" s="580">
        <v>5.1644578084551487</v>
      </c>
      <c r="N57" s="580">
        <v>5.3129505508959891</v>
      </c>
      <c r="O57" s="580">
        <v>5.1809327257748183</v>
      </c>
      <c r="P57" s="580">
        <v>5.2178910322053786</v>
      </c>
      <c r="Q57" s="580">
        <v>5.4378437910687127</v>
      </c>
      <c r="R57" s="580">
        <v>5.725417965953735</v>
      </c>
      <c r="S57" s="580">
        <v>5.8993959309995736</v>
      </c>
      <c r="T57" s="580">
        <v>5.9000737205105294</v>
      </c>
      <c r="U57" s="580">
        <v>6.5217158596147407</v>
      </c>
      <c r="V57" s="580">
        <v>7.262555688212232</v>
      </c>
      <c r="W57" s="580">
        <v>6.9958141654404553</v>
      </c>
      <c r="X57" s="580">
        <v>6.7162110642798991</v>
      </c>
      <c r="Z57" s="597"/>
      <c r="AB57" s="590" t="s">
        <v>454</v>
      </c>
      <c r="AC57" s="579" t="s">
        <v>139</v>
      </c>
      <c r="AD57" s="580">
        <f>ROUND(LOOKUP(MID($AD$3,1,4),$E$132:$Y$132,E57:Y57),4)</f>
        <v>6.7161999999999997</v>
      </c>
      <c r="AF57" s="580">
        <v>6.9218999999999999</v>
      </c>
      <c r="AL57" s="588"/>
    </row>
    <row r="58" spans="2:38">
      <c r="B58" s="590" t="s">
        <v>455</v>
      </c>
      <c r="C58" s="579" t="s">
        <v>139</v>
      </c>
      <c r="E58" s="580">
        <v>1.7695469549449989</v>
      </c>
      <c r="F58" s="580">
        <v>1.9644439943875478</v>
      </c>
      <c r="G58" s="580">
        <v>2.2389411511352675</v>
      </c>
      <c r="H58" s="580">
        <v>2.3747280505668948</v>
      </c>
      <c r="I58" s="580">
        <v>2.8068041344885266</v>
      </c>
      <c r="J58" s="580">
        <v>2.9235186648682001</v>
      </c>
      <c r="K58" s="580">
        <v>3.1262925156478718</v>
      </c>
      <c r="L58" s="580">
        <v>3.3767802200100197</v>
      </c>
      <c r="M58" s="580">
        <v>3.4722745691658909</v>
      </c>
      <c r="N58" s="580">
        <v>3.5721122660561409</v>
      </c>
      <c r="O58" s="580">
        <v>3.4833513246666414</v>
      </c>
      <c r="P58" s="580">
        <v>3.5081998939255823</v>
      </c>
      <c r="Q58" s="580">
        <v>3.6560830598541836</v>
      </c>
      <c r="R58" s="580">
        <v>3.8494308479932098</v>
      </c>
      <c r="S58" s="580">
        <v>3.9664032942846443</v>
      </c>
      <c r="T58" s="580">
        <v>3.9668589996789816</v>
      </c>
      <c r="U58" s="580">
        <v>4.3848142373419874</v>
      </c>
      <c r="V58" s="580">
        <v>4.88291091894384</v>
      </c>
      <c r="W58" s="580">
        <v>4.7035697682533124</v>
      </c>
      <c r="X58" s="580">
        <v>4.5155812564621529</v>
      </c>
      <c r="Z58" s="597"/>
      <c r="AB58" s="590" t="s">
        <v>455</v>
      </c>
      <c r="AC58" s="579" t="s">
        <v>139</v>
      </c>
      <c r="AD58" s="580">
        <f>ROUND(LOOKUP(MID($AD$3,1,4),$E$132:$Y$132,E58:Y58),4)</f>
        <v>4.5156000000000001</v>
      </c>
      <c r="AF58" s="580">
        <v>4.6539000000000001</v>
      </c>
      <c r="AL58" s="588"/>
    </row>
    <row r="59" spans="2:38">
      <c r="E59" s="588"/>
      <c r="F59" s="588"/>
      <c r="G59" s="588"/>
      <c r="H59" s="588"/>
      <c r="I59" s="588"/>
      <c r="J59" s="588"/>
      <c r="K59" s="588"/>
      <c r="L59" s="588"/>
      <c r="M59" s="588"/>
      <c r="N59" s="588"/>
      <c r="O59" s="588"/>
      <c r="P59" s="588"/>
      <c r="Q59" s="588"/>
      <c r="R59" s="588"/>
      <c r="S59" s="588"/>
      <c r="T59" s="588"/>
      <c r="U59" s="588"/>
      <c r="V59" s="588"/>
      <c r="W59" s="588"/>
      <c r="X59" s="588"/>
      <c r="Z59" s="597"/>
      <c r="AC59" s="579"/>
      <c r="AD59" s="588"/>
      <c r="AF59" s="588"/>
    </row>
    <row r="60" spans="2:38">
      <c r="B60" s="582" t="s">
        <v>26</v>
      </c>
      <c r="E60" s="588"/>
      <c r="F60" s="588"/>
      <c r="G60" s="588"/>
      <c r="H60" s="588"/>
      <c r="I60" s="588"/>
      <c r="J60" s="588"/>
      <c r="K60" s="588"/>
      <c r="L60" s="588"/>
      <c r="M60" s="588"/>
      <c r="N60" s="588"/>
      <c r="O60" s="588"/>
      <c r="P60" s="588"/>
      <c r="Q60" s="588"/>
      <c r="R60" s="588"/>
      <c r="S60" s="588"/>
      <c r="T60" s="588"/>
      <c r="U60" s="588"/>
      <c r="V60" s="588"/>
      <c r="W60" s="588"/>
      <c r="X60" s="588"/>
      <c r="Z60" s="597"/>
      <c r="AB60" s="582" t="s">
        <v>26</v>
      </c>
      <c r="AC60" s="579"/>
      <c r="AD60" s="588"/>
      <c r="AF60" s="588"/>
    </row>
    <row r="61" spans="2:38">
      <c r="B61" s="590" t="s">
        <v>452</v>
      </c>
      <c r="C61" s="579" t="s">
        <v>138</v>
      </c>
      <c r="E61" s="580">
        <v>10.186030136577706</v>
      </c>
      <c r="F61" s="580">
        <v>11.137319155384381</v>
      </c>
      <c r="G61" s="580">
        <v>12.641755333231307</v>
      </c>
      <c r="H61" s="580">
        <v>13.501372287429481</v>
      </c>
      <c r="I61" s="580">
        <v>16.055293138483801</v>
      </c>
      <c r="J61" s="580">
        <v>16.712656521259092</v>
      </c>
      <c r="K61" s="580">
        <v>18.162436061073972</v>
      </c>
      <c r="L61" s="580">
        <v>19.33662463026095</v>
      </c>
      <c r="M61" s="580">
        <v>19.811021956608069</v>
      </c>
      <c r="N61" s="580">
        <v>20.479799931738924</v>
      </c>
      <c r="O61" s="580">
        <v>20.012890643638297</v>
      </c>
      <c r="P61" s="580">
        <v>20.217236140317929</v>
      </c>
      <c r="Q61" s="580">
        <v>20.974966344748381</v>
      </c>
      <c r="R61" s="580">
        <v>22.123728209093539</v>
      </c>
      <c r="S61" s="580">
        <v>22.746869758909003</v>
      </c>
      <c r="T61" s="580">
        <v>22.599733918861762</v>
      </c>
      <c r="U61" s="580">
        <v>25.447773083949706</v>
      </c>
      <c r="V61" s="580">
        <v>28.276151039799149</v>
      </c>
      <c r="W61" s="580">
        <v>26.962109393277341</v>
      </c>
      <c r="X61" s="580">
        <v>25.816142996353076</v>
      </c>
      <c r="Z61" s="597"/>
      <c r="AB61" s="590" t="s">
        <v>452</v>
      </c>
      <c r="AC61" s="579" t="s">
        <v>138</v>
      </c>
      <c r="AD61" s="580">
        <f>ROUND(LOOKUP(MID($AD$3,1,4),$E$132:$Y$132,E61:Y61),4)</f>
        <v>25.816099999999999</v>
      </c>
      <c r="AF61" s="580">
        <v>26.593499999999999</v>
      </c>
      <c r="AL61" s="588"/>
    </row>
    <row r="62" spans="2:38">
      <c r="B62" s="590" t="s">
        <v>453</v>
      </c>
      <c r="C62" s="579" t="s">
        <v>138</v>
      </c>
      <c r="E62" s="580">
        <v>5.3349873194172357</v>
      </c>
      <c r="F62" s="580">
        <v>5.8332299894649022</v>
      </c>
      <c r="G62" s="580">
        <v>6.6211864184238403</v>
      </c>
      <c r="H62" s="580">
        <v>7.0714153583260488</v>
      </c>
      <c r="I62" s="580">
        <v>8.4090449522384656</v>
      </c>
      <c r="J62" s="580">
        <v>8.7533425111826304</v>
      </c>
      <c r="K62" s="580">
        <v>9.512672236026896</v>
      </c>
      <c r="L62" s="580">
        <v>10.127659728035422</v>
      </c>
      <c r="M62" s="580">
        <v>10.376127844317439</v>
      </c>
      <c r="N62" s="580">
        <v>10.726403856560555</v>
      </c>
      <c r="O62" s="580">
        <v>10.481857640033073</v>
      </c>
      <c r="P62" s="580">
        <v>10.588884677941694</v>
      </c>
      <c r="Q62" s="580">
        <v>10.985749892158905</v>
      </c>
      <c r="R62" s="580">
        <v>11.587420012621616</v>
      </c>
      <c r="S62" s="580">
        <v>11.913793705011303</v>
      </c>
      <c r="T62" s="580">
        <v>11.836730528252671</v>
      </c>
      <c r="U62" s="580">
        <v>13.328406149394391</v>
      </c>
      <c r="V62" s="580">
        <v>14.809784107897636</v>
      </c>
      <c r="W62" s="580">
        <v>14.121547824735083</v>
      </c>
      <c r="X62" s="580">
        <v>13.521341845163604</v>
      </c>
      <c r="Z62" s="597"/>
      <c r="AB62" s="590" t="s">
        <v>453</v>
      </c>
      <c r="AC62" s="579" t="s">
        <v>138</v>
      </c>
      <c r="AD62" s="580">
        <f>ROUND(LOOKUP(MID($AD$3,1,4),$E$132:$Y$132,E62:Y62),4)</f>
        <v>13.5213</v>
      </c>
      <c r="AF62" s="580">
        <v>13.9285</v>
      </c>
      <c r="AL62" s="588"/>
    </row>
    <row r="63" spans="2:38">
      <c r="B63" s="590" t="s">
        <v>454</v>
      </c>
      <c r="C63" s="579" t="s">
        <v>138</v>
      </c>
      <c r="E63" s="580">
        <v>6.2550191366613301</v>
      </c>
      <c r="F63" s="580">
        <v>6.8391849929711483</v>
      </c>
      <c r="G63" s="580">
        <v>7.763026465668756</v>
      </c>
      <c r="H63" s="580">
        <v>8.2908985047863073</v>
      </c>
      <c r="I63" s="580">
        <v>9.8592056453177381</v>
      </c>
      <c r="J63" s="580">
        <v>10.262878173659713</v>
      </c>
      <c r="K63" s="580">
        <v>11.153156195999133</v>
      </c>
      <c r="L63" s="580">
        <v>11.874199808852721</v>
      </c>
      <c r="M63" s="580">
        <v>12.165516869070959</v>
      </c>
      <c r="N63" s="580">
        <v>12.576198849835899</v>
      </c>
      <c r="O63" s="580">
        <v>12.289480030728264</v>
      </c>
      <c r="P63" s="580">
        <v>12.414964147217548</v>
      </c>
      <c r="Q63" s="580">
        <v>12.880269753581205</v>
      </c>
      <c r="R63" s="580">
        <v>13.585699381080804</v>
      </c>
      <c r="S63" s="580">
        <v>13.968357027551708</v>
      </c>
      <c r="T63" s="580">
        <v>13.878004114508643</v>
      </c>
      <c r="U63" s="580">
        <v>15.626922902370325</v>
      </c>
      <c r="V63" s="580">
        <v>17.363768170088463</v>
      </c>
      <c r="W63" s="580">
        <v>16.556843830070221</v>
      </c>
      <c r="X63" s="580">
        <v>15.853130838195996</v>
      </c>
      <c r="Z63" s="597"/>
      <c r="AB63" s="590" t="s">
        <v>454</v>
      </c>
      <c r="AC63" s="579" t="s">
        <v>138</v>
      </c>
      <c r="AD63" s="580">
        <f>ROUND(LOOKUP(MID($AD$3,1,4),$E$132:$Y$132,E63:Y63),4)</f>
        <v>15.8531</v>
      </c>
      <c r="AF63" s="580">
        <v>16.330500000000001</v>
      </c>
      <c r="AL63" s="588"/>
    </row>
    <row r="64" spans="2:38">
      <c r="B64" s="590" t="s">
        <v>455</v>
      </c>
      <c r="C64" s="579" t="s">
        <v>138</v>
      </c>
      <c r="E64" s="580">
        <v>4.242244200877292</v>
      </c>
      <c r="F64" s="580">
        <v>4.6384339106346939</v>
      </c>
      <c r="G64" s="580">
        <v>5.2649965229072517</v>
      </c>
      <c r="H64" s="580">
        <v>5.6230069538628609</v>
      </c>
      <c r="I64" s="580">
        <v>6.6866554778328586</v>
      </c>
      <c r="J64" s="580">
        <v>6.9604320091267766</v>
      </c>
      <c r="K64" s="580">
        <v>7.5642314052472166</v>
      </c>
      <c r="L64" s="580">
        <v>8.0532535838173107</v>
      </c>
      <c r="M64" s="580">
        <v>8.2508290160144835</v>
      </c>
      <c r="N64" s="580">
        <v>8.5293594590459954</v>
      </c>
      <c r="O64" s="580">
        <v>8.3349026202950629</v>
      </c>
      <c r="P64" s="580">
        <v>8.420007758080942</v>
      </c>
      <c r="Q64" s="580">
        <v>8.7355847318846589</v>
      </c>
      <c r="R64" s="580">
        <v>9.214017280371559</v>
      </c>
      <c r="S64" s="580">
        <v>9.4735412156618697</v>
      </c>
      <c r="T64" s="580">
        <v>9.4122625667856816</v>
      </c>
      <c r="U64" s="580">
        <v>10.598404515117386</v>
      </c>
      <c r="V64" s="580">
        <v>11.776358027939288</v>
      </c>
      <c r="W64" s="580">
        <v>11.229090301462552</v>
      </c>
      <c r="X64" s="580">
        <v>10.751822000017533</v>
      </c>
      <c r="Z64" s="597"/>
      <c r="AB64" s="590" t="s">
        <v>455</v>
      </c>
      <c r="AC64" s="579" t="s">
        <v>138</v>
      </c>
      <c r="AD64" s="580">
        <f>ROUND(LOOKUP(MID($AD$3,1,4),$E$132:$Y$132,E64:Y64),4)</f>
        <v>10.751799999999999</v>
      </c>
      <c r="AF64" s="580">
        <v>11.0756</v>
      </c>
      <c r="AL64" s="588"/>
    </row>
    <row r="65" spans="2:38">
      <c r="E65" s="588"/>
      <c r="F65" s="588"/>
      <c r="G65" s="588"/>
      <c r="H65" s="588"/>
      <c r="I65" s="588"/>
      <c r="J65" s="588"/>
      <c r="K65" s="588"/>
      <c r="L65" s="588"/>
      <c r="M65" s="588"/>
      <c r="N65" s="588"/>
      <c r="O65" s="588"/>
      <c r="P65" s="588"/>
      <c r="Q65" s="588"/>
      <c r="R65" s="588"/>
      <c r="S65" s="588"/>
      <c r="T65" s="588"/>
      <c r="U65" s="588"/>
      <c r="V65" s="588"/>
      <c r="W65" s="588"/>
      <c r="X65" s="588"/>
      <c r="Z65" s="597"/>
      <c r="AC65" s="579"/>
      <c r="AD65" s="588"/>
      <c r="AF65" s="588"/>
    </row>
    <row r="66" spans="2:38">
      <c r="B66" s="582" t="s">
        <v>415</v>
      </c>
      <c r="E66" s="588"/>
      <c r="F66" s="588"/>
      <c r="G66" s="588"/>
      <c r="H66" s="588"/>
      <c r="I66" s="588"/>
      <c r="J66" s="588"/>
      <c r="K66" s="588"/>
      <c r="L66" s="588"/>
      <c r="M66" s="588"/>
      <c r="N66" s="588"/>
      <c r="O66" s="588"/>
      <c r="P66" s="588"/>
      <c r="Q66" s="588"/>
      <c r="R66" s="588"/>
      <c r="S66" s="588"/>
      <c r="T66" s="588"/>
      <c r="U66" s="588"/>
      <c r="V66" s="588"/>
      <c r="W66" s="588"/>
      <c r="X66" s="588"/>
      <c r="Z66" s="597"/>
      <c r="AB66" s="582" t="s">
        <v>415</v>
      </c>
      <c r="AC66" s="579"/>
      <c r="AD66" s="588"/>
      <c r="AF66" s="588"/>
    </row>
    <row r="67" spans="2:38">
      <c r="B67" s="590" t="s">
        <v>452</v>
      </c>
      <c r="C67" s="579" t="s">
        <v>248</v>
      </c>
      <c r="E67" s="580">
        <v>698.82352770953571</v>
      </c>
      <c r="F67" s="580">
        <v>782.394244846118</v>
      </c>
      <c r="G67" s="580">
        <v>926.30805664120464</v>
      </c>
      <c r="H67" s="580">
        <v>964.04035924695449</v>
      </c>
      <c r="I67" s="580">
        <v>1065.2465125902809</v>
      </c>
      <c r="J67" s="580">
        <v>1129.6739431525289</v>
      </c>
      <c r="K67" s="580">
        <v>1206.1959529867243</v>
      </c>
      <c r="L67" s="580">
        <v>1277.9248004265103</v>
      </c>
      <c r="M67" s="580">
        <v>1335.2242984308882</v>
      </c>
      <c r="N67" s="580">
        <v>1311.6402064256129</v>
      </c>
      <c r="O67" s="580">
        <v>1281.1075719520964</v>
      </c>
      <c r="P67" s="580">
        <v>1331.9621468511582</v>
      </c>
      <c r="Q67" s="580">
        <v>1409.6772055614783</v>
      </c>
      <c r="R67" s="580">
        <v>1465.7579266997363</v>
      </c>
      <c r="S67" s="580">
        <v>1491.2992423213939</v>
      </c>
      <c r="T67" s="580">
        <v>1472.2574984586558</v>
      </c>
      <c r="U67" s="580">
        <v>1766.193625332905</v>
      </c>
      <c r="V67" s="580">
        <v>1761.744436291764</v>
      </c>
      <c r="W67" s="580">
        <v>1730.7756341431168</v>
      </c>
      <c r="X67" s="580">
        <v>1699.8171652397637</v>
      </c>
      <c r="Z67" s="597"/>
      <c r="AB67" s="590" t="s">
        <v>452</v>
      </c>
      <c r="AC67" s="579" t="s">
        <v>248</v>
      </c>
      <c r="AD67" s="580">
        <f>ROUND(LOOKUP(MID($AD$3,1,4),$E$132:$Y$132,E67:Y67),4)</f>
        <v>1699.8172</v>
      </c>
      <c r="AF67" s="580">
        <v>1745.8784000000001</v>
      </c>
      <c r="AL67" s="588"/>
    </row>
    <row r="68" spans="2:38">
      <c r="B68" s="590" t="s">
        <v>453</v>
      </c>
      <c r="C68" s="579" t="s">
        <v>248</v>
      </c>
      <c r="E68" s="580">
        <v>841.08551409743734</v>
      </c>
      <c r="F68" s="580">
        <v>941.6690188009735</v>
      </c>
      <c r="G68" s="580">
        <v>1114.8798761630969</v>
      </c>
      <c r="H68" s="580">
        <v>1160.2934775615149</v>
      </c>
      <c r="I68" s="580">
        <v>1282.1025268269209</v>
      </c>
      <c r="J68" s="580">
        <v>1359.6456781487361</v>
      </c>
      <c r="K68" s="580">
        <v>1451.7455451811397</v>
      </c>
      <c r="L68" s="580">
        <v>1538.0764887345817</v>
      </c>
      <c r="M68" s="580">
        <v>1607.0406489632696</v>
      </c>
      <c r="N68" s="580">
        <v>1578.6554596239903</v>
      </c>
      <c r="O68" s="580">
        <v>1541.9071883586005</v>
      </c>
      <c r="P68" s="580">
        <v>1603.1144096056828</v>
      </c>
      <c r="Q68" s="580">
        <v>1696.6501987092961</v>
      </c>
      <c r="R68" s="580">
        <v>1764.1474713385205</v>
      </c>
      <c r="S68" s="580">
        <v>1794.8883232539927</v>
      </c>
      <c r="T68" s="580">
        <v>1771.9701839941483</v>
      </c>
      <c r="U68" s="580">
        <v>2125.7439317014464</v>
      </c>
      <c r="V68" s="580">
        <v>2120.3890054523977</v>
      </c>
      <c r="W68" s="580">
        <v>2083.1157743098374</v>
      </c>
      <c r="X68" s="580">
        <v>2045.8549799879993</v>
      </c>
      <c r="Z68" s="597"/>
      <c r="AB68" s="590" t="s">
        <v>453</v>
      </c>
      <c r="AC68" s="579" t="s">
        <v>248</v>
      </c>
      <c r="AD68" s="580">
        <f>ROUND(LOOKUP(MID($AD$3,1,4),$E$132:$Y$132,E68:Y68),4)</f>
        <v>2045.855</v>
      </c>
      <c r="AF68" s="580">
        <v>2101.2930999999999</v>
      </c>
      <c r="AL68" s="588"/>
    </row>
    <row r="69" spans="2:38">
      <c r="B69" s="590" t="s">
        <v>454</v>
      </c>
      <c r="C69" s="579" t="s">
        <v>248</v>
      </c>
      <c r="E69" s="580">
        <v>913.55367780293693</v>
      </c>
      <c r="F69" s="580">
        <v>1022.803485471815</v>
      </c>
      <c r="G69" s="580">
        <v>1210.9382388665053</v>
      </c>
      <c r="H69" s="580">
        <v>1260.2646888937913</v>
      </c>
      <c r="I69" s="580">
        <v>1392.5688399948879</v>
      </c>
      <c r="J69" s="580">
        <v>1476.7931309749692</v>
      </c>
      <c r="K69" s="580">
        <v>1576.8283483724556</v>
      </c>
      <c r="L69" s="580">
        <v>1670.5975902266293</v>
      </c>
      <c r="M69" s="580">
        <v>1745.5037218357515</v>
      </c>
      <c r="N69" s="580">
        <v>1714.6728566247889</v>
      </c>
      <c r="O69" s="580">
        <v>1674.7583440042472</v>
      </c>
      <c r="P69" s="580">
        <v>1741.239196594335</v>
      </c>
      <c r="Q69" s="580">
        <v>1842.8340555112686</v>
      </c>
      <c r="R69" s="580">
        <v>1916.1469120740937</v>
      </c>
      <c r="S69" s="580">
        <v>1949.5364044092591</v>
      </c>
      <c r="T69" s="580">
        <v>1924.6436318453448</v>
      </c>
      <c r="U69" s="580">
        <v>2308.8986248408487</v>
      </c>
      <c r="V69" s="580">
        <v>2303.0823166448481</v>
      </c>
      <c r="W69" s="580">
        <v>2262.5976134569387</v>
      </c>
      <c r="X69" s="580">
        <v>2222.1264186497119</v>
      </c>
      <c r="Z69" s="597"/>
      <c r="AB69" s="590" t="s">
        <v>454</v>
      </c>
      <c r="AC69" s="579" t="s">
        <v>248</v>
      </c>
      <c r="AD69" s="580">
        <f>ROUND(LOOKUP(MID($AD$3,1,4),$E$132:$Y$132,E69:Y69),4)</f>
        <v>2222.1264000000001</v>
      </c>
      <c r="AF69" s="580">
        <v>2282.3411000000001</v>
      </c>
      <c r="AL69" s="588"/>
    </row>
    <row r="70" spans="2:38">
      <c r="B70" s="590" t="s">
        <v>455</v>
      </c>
      <c r="C70" s="579" t="s">
        <v>248</v>
      </c>
      <c r="E70" s="580">
        <v>676.60030806612906</v>
      </c>
      <c r="F70" s="580">
        <v>757.51340088263373</v>
      </c>
      <c r="G70" s="580">
        <v>896.85062342102401</v>
      </c>
      <c r="H70" s="580">
        <v>933.38300470871604</v>
      </c>
      <c r="I70" s="580">
        <v>1031.3707109250763</v>
      </c>
      <c r="J70" s="580">
        <v>1093.7492909783296</v>
      </c>
      <c r="K70" s="580">
        <v>1167.8378317539286</v>
      </c>
      <c r="L70" s="580">
        <v>1237.2856370303987</v>
      </c>
      <c r="M70" s="580">
        <v>1292.7629592219762</v>
      </c>
      <c r="N70" s="580">
        <v>1269.9288626532332</v>
      </c>
      <c r="O70" s="580">
        <v>1240.3671935454947</v>
      </c>
      <c r="P70" s="580">
        <v>1289.6045470101865</v>
      </c>
      <c r="Q70" s="580">
        <v>1364.8481966296015</v>
      </c>
      <c r="R70" s="580">
        <v>1419.1455001606978</v>
      </c>
      <c r="S70" s="580">
        <v>1443.87457886626</v>
      </c>
      <c r="T70" s="580">
        <v>1425.4383796646214</v>
      </c>
      <c r="U70" s="580">
        <v>1710.0270721013542</v>
      </c>
      <c r="V70" s="580">
        <v>1705.7193712920425</v>
      </c>
      <c r="W70" s="580">
        <v>1675.735405035367</v>
      </c>
      <c r="X70" s="580">
        <v>1645.7614434174479</v>
      </c>
      <c r="Z70" s="597"/>
      <c r="AB70" s="590" t="s">
        <v>455</v>
      </c>
      <c r="AC70" s="579" t="s">
        <v>248</v>
      </c>
      <c r="AD70" s="580">
        <f>ROUND(LOOKUP(MID($AD$3,1,4),$E$132:$Y$132,E70:Y70),4)</f>
        <v>1645.7614000000001</v>
      </c>
      <c r="AF70" s="580">
        <v>1690.3579</v>
      </c>
      <c r="AL70" s="588"/>
    </row>
    <row r="71" spans="2:38">
      <c r="E71" s="588"/>
      <c r="F71" s="588"/>
      <c r="G71" s="588"/>
      <c r="H71" s="588"/>
      <c r="I71" s="588"/>
      <c r="J71" s="588"/>
      <c r="K71" s="588"/>
      <c r="L71" s="588"/>
      <c r="M71" s="588"/>
      <c r="N71" s="588"/>
      <c r="O71" s="588"/>
      <c r="P71" s="588"/>
      <c r="Q71" s="588"/>
      <c r="R71" s="588"/>
      <c r="S71" s="588"/>
      <c r="T71" s="588"/>
      <c r="U71" s="588"/>
      <c r="V71" s="588"/>
      <c r="W71" s="588"/>
      <c r="X71" s="588"/>
      <c r="Z71" s="597"/>
      <c r="AC71" s="579"/>
      <c r="AD71" s="588"/>
      <c r="AF71" s="588"/>
    </row>
    <row r="72" spans="2:38">
      <c r="B72" s="576" t="s">
        <v>456</v>
      </c>
      <c r="C72" s="577" t="s">
        <v>457</v>
      </c>
      <c r="E72" s="589">
        <v>663.24247319778499</v>
      </c>
      <c r="F72" s="589">
        <v>822.60955379456504</v>
      </c>
      <c r="G72" s="589">
        <v>814.49726980453477</v>
      </c>
      <c r="H72" s="589">
        <v>924.83642788974169</v>
      </c>
      <c r="I72" s="589">
        <v>1032.1584323607972</v>
      </c>
      <c r="J72" s="589">
        <v>1138.9160107620305</v>
      </c>
      <c r="K72" s="589">
        <v>1051.89885428097</v>
      </c>
      <c r="L72" s="589">
        <v>994.98888275914351</v>
      </c>
      <c r="M72" s="589">
        <v>1109.5322065539908</v>
      </c>
      <c r="N72" s="589">
        <v>1080.5948166970711</v>
      </c>
      <c r="O72" s="589">
        <v>1136.9907941481131</v>
      </c>
      <c r="P72" s="589">
        <v>1141.448524216526</v>
      </c>
      <c r="Q72" s="589">
        <v>1143.8545599051772</v>
      </c>
      <c r="R72" s="589">
        <v>1160.5117298356229</v>
      </c>
      <c r="S72" s="589">
        <v>1231.3441155968706</v>
      </c>
      <c r="T72" s="589">
        <v>1323.5633901125541</v>
      </c>
      <c r="U72" s="589">
        <v>1411.382320739044</v>
      </c>
      <c r="V72" s="589">
        <v>1344.3364427925253</v>
      </c>
      <c r="W72" s="589">
        <v>1449.6654224445419</v>
      </c>
      <c r="X72" s="589">
        <v>1521.3469337225406</v>
      </c>
      <c r="Z72" s="597"/>
      <c r="AB72" s="576" t="s">
        <v>456</v>
      </c>
      <c r="AC72" s="577" t="s">
        <v>457</v>
      </c>
      <c r="AD72" s="589">
        <f>ROUND(LOOKUP(MID($AD$3,1,4),$E$132:$Y$132,E72:Y72),4)</f>
        <v>1521.3469</v>
      </c>
      <c r="AF72" s="701">
        <v>1584.6092463549712</v>
      </c>
      <c r="AI72" s="580"/>
      <c r="AL72" s="588"/>
    </row>
    <row r="73" spans="2:38">
      <c r="E73" s="588"/>
      <c r="F73" s="588"/>
      <c r="G73" s="588"/>
      <c r="H73" s="588"/>
      <c r="I73" s="588"/>
      <c r="J73" s="588"/>
      <c r="K73" s="588"/>
      <c r="L73" s="588"/>
      <c r="M73" s="588"/>
      <c r="N73" s="588"/>
      <c r="O73" s="588"/>
      <c r="P73" s="588"/>
      <c r="Q73" s="588"/>
      <c r="R73" s="588"/>
      <c r="S73" s="588"/>
      <c r="T73" s="588"/>
      <c r="U73" s="588"/>
      <c r="V73" s="588"/>
      <c r="W73" s="588"/>
      <c r="X73" s="588"/>
      <c r="Z73" s="597"/>
      <c r="AC73" s="579"/>
      <c r="AD73" s="588"/>
      <c r="AF73" s="588"/>
    </row>
    <row r="74" spans="2:38">
      <c r="B74" s="576" t="s">
        <v>458</v>
      </c>
      <c r="Z74" s="597"/>
      <c r="AB74" s="576" t="s">
        <v>458</v>
      </c>
      <c r="AC74" s="579"/>
    </row>
    <row r="75" spans="2:38">
      <c r="B75" s="578" t="s">
        <v>48</v>
      </c>
      <c r="C75" s="579" t="s">
        <v>465</v>
      </c>
      <c r="E75" s="601">
        <v>9592.1094031532739</v>
      </c>
      <c r="F75" s="601">
        <v>10621.95700699581</v>
      </c>
      <c r="G75" s="601">
        <v>11583.187473511787</v>
      </c>
      <c r="H75" s="601">
        <v>12606.158760048374</v>
      </c>
      <c r="I75" s="601">
        <v>13667.044365197677</v>
      </c>
      <c r="J75" s="601">
        <v>16393.659889914699</v>
      </c>
      <c r="K75" s="601">
        <v>17601.615598189896</v>
      </c>
      <c r="L75" s="601">
        <v>19897.295884909829</v>
      </c>
      <c r="M75" s="601">
        <v>21414.618138924936</v>
      </c>
      <c r="N75" s="601">
        <v>24323.426009525392</v>
      </c>
      <c r="O75" s="601">
        <v>26697.080977096823</v>
      </c>
      <c r="P75" s="601">
        <v>28233.879965034426</v>
      </c>
      <c r="Q75" s="601">
        <v>32082.821313929093</v>
      </c>
      <c r="R75" s="601">
        <v>37213.568862989836</v>
      </c>
      <c r="S75" s="601">
        <v>42240.835677905787</v>
      </c>
      <c r="T75" s="601">
        <v>46917.080938667037</v>
      </c>
      <c r="U75" s="601">
        <v>56625.064195001287</v>
      </c>
      <c r="V75" s="601">
        <v>68306.972093655655</v>
      </c>
      <c r="W75" s="601">
        <v>73656.401023940227</v>
      </c>
      <c r="X75" s="601">
        <v>74515.933642094897</v>
      </c>
      <c r="Z75" s="597"/>
      <c r="AB75" s="578" t="s">
        <v>48</v>
      </c>
      <c r="AC75" s="579" t="s">
        <v>465</v>
      </c>
      <c r="AD75" s="580">
        <f t="shared" ref="AD75:AD101" si="33">ROUND(LOOKUP(MID($AD$3,1,4),$E$132:$Y$132,E75:Y75),2)</f>
        <v>74515.929999999993</v>
      </c>
      <c r="AF75" s="580">
        <v>77081.344593924267</v>
      </c>
      <c r="AL75" s="588"/>
    </row>
    <row r="76" spans="2:38">
      <c r="B76" s="578" t="s">
        <v>121</v>
      </c>
      <c r="C76" s="579" t="s">
        <v>465</v>
      </c>
      <c r="E76" s="601">
        <v>7194.0820523649563</v>
      </c>
      <c r="F76" s="601">
        <v>7966.4677552468575</v>
      </c>
      <c r="G76" s="601">
        <v>8687.3906051338399</v>
      </c>
      <c r="H76" s="601">
        <v>9454.6190700362804</v>
      </c>
      <c r="I76" s="601">
        <v>10250.283273898258</v>
      </c>
      <c r="J76" s="601">
        <v>12295.244917436023</v>
      </c>
      <c r="K76" s="601">
        <v>13201.211698642415</v>
      </c>
      <c r="L76" s="601">
        <v>14922.971913682368</v>
      </c>
      <c r="M76" s="601">
        <v>16060.963604193696</v>
      </c>
      <c r="N76" s="601">
        <v>18242.569507144042</v>
      </c>
      <c r="O76" s="601">
        <v>20022.810732822622</v>
      </c>
      <c r="P76" s="601">
        <v>21175.409973775826</v>
      </c>
      <c r="Q76" s="601">
        <v>24062.115985446824</v>
      </c>
      <c r="R76" s="601">
        <v>27910.176647242373</v>
      </c>
      <c r="S76" s="601">
        <v>31680.626758429331</v>
      </c>
      <c r="T76" s="601">
        <v>35187.810704000272</v>
      </c>
      <c r="U76" s="601">
        <v>42468.798146250941</v>
      </c>
      <c r="V76" s="601">
        <v>51230.229070241701</v>
      </c>
      <c r="W76" s="601">
        <v>55242.300767955116</v>
      </c>
      <c r="X76" s="601">
        <v>55886.950231571122</v>
      </c>
      <c r="Z76" s="597"/>
      <c r="AB76" s="578" t="s">
        <v>121</v>
      </c>
      <c r="AC76" s="579" t="s">
        <v>465</v>
      </c>
      <c r="AD76" s="580">
        <f t="shared" si="33"/>
        <v>55886.95</v>
      </c>
      <c r="AF76" s="580">
        <v>57811.008445443156</v>
      </c>
      <c r="AL76" s="588"/>
    </row>
    <row r="77" spans="2:38">
      <c r="B77" s="578" t="s">
        <v>459</v>
      </c>
      <c r="C77" s="579" t="s">
        <v>165</v>
      </c>
      <c r="E77" s="601">
        <v>1329839.9093260949</v>
      </c>
      <c r="F77" s="601">
        <v>1675284.8397993795</v>
      </c>
      <c r="G77" s="601">
        <v>1900024.6264325955</v>
      </c>
      <c r="H77" s="601">
        <v>2151268.3425886012</v>
      </c>
      <c r="I77" s="601">
        <v>2518583.7838155595</v>
      </c>
      <c r="J77" s="601">
        <v>2760742.4772562459</v>
      </c>
      <c r="K77" s="601">
        <v>2941368.278277983</v>
      </c>
      <c r="L77" s="601">
        <v>3163548.2193307066</v>
      </c>
      <c r="M77" s="601">
        <v>3125587.3455464947</v>
      </c>
      <c r="N77" s="601">
        <v>3615798.5714042396</v>
      </c>
      <c r="O77" s="601">
        <v>4151753.8507557618</v>
      </c>
      <c r="P77" s="601">
        <v>4528887.6337022288</v>
      </c>
      <c r="Q77" s="601">
        <v>4647834.0072014239</v>
      </c>
      <c r="R77" s="601">
        <v>4691196.1540363422</v>
      </c>
      <c r="S77" s="601">
        <v>5032634.4005546737</v>
      </c>
      <c r="T77" s="601">
        <v>5227766.28624475</v>
      </c>
      <c r="U77" s="601">
        <v>5265588.5505698575</v>
      </c>
      <c r="V77" s="601">
        <v>5263843.8201092742</v>
      </c>
      <c r="W77" s="601">
        <v>4916313.7127854228</v>
      </c>
      <c r="X77" s="601">
        <v>5668910.1538607078</v>
      </c>
      <c r="Z77" s="597"/>
      <c r="AB77" s="578" t="s">
        <v>459</v>
      </c>
      <c r="AC77" s="579" t="s">
        <v>165</v>
      </c>
      <c r="AD77" s="580">
        <f t="shared" si="33"/>
        <v>5668910.1500000004</v>
      </c>
      <c r="AF77" s="580">
        <v>5749108.6189876813</v>
      </c>
      <c r="AL77" s="588"/>
    </row>
    <row r="78" spans="2:38">
      <c r="B78" s="578" t="s">
        <v>460</v>
      </c>
      <c r="C78" s="579" t="s">
        <v>165</v>
      </c>
      <c r="E78" s="601">
        <v>1685662.1607424542</v>
      </c>
      <c r="F78" s="601">
        <v>1911794.0669956692</v>
      </c>
      <c r="G78" s="601">
        <v>2164594.077708602</v>
      </c>
      <c r="H78" s="601">
        <v>2534184.8037888608</v>
      </c>
      <c r="I78" s="601">
        <v>2777843.5158659541</v>
      </c>
      <c r="J78" s="601">
        <v>2959588.178506487</v>
      </c>
      <c r="K78" s="601">
        <v>3183144.3825687259</v>
      </c>
      <c r="L78" s="601">
        <v>3144948.3653861023</v>
      </c>
      <c r="M78" s="601">
        <v>3638196.1370895277</v>
      </c>
      <c r="N78" s="601">
        <v>4177471.3175186673</v>
      </c>
      <c r="O78" s="601">
        <v>4556941.2036824124</v>
      </c>
      <c r="P78" s="601">
        <v>4676624.3740912983</v>
      </c>
      <c r="Q78" s="601">
        <v>5333372.9671535287</v>
      </c>
      <c r="R78" s="601">
        <v>5689045.4783727527</v>
      </c>
      <c r="S78" s="601">
        <v>5916661.4745545574</v>
      </c>
      <c r="T78" s="601">
        <v>5954240.1209272621</v>
      </c>
      <c r="U78" s="601">
        <v>5947986.1160950242</v>
      </c>
      <c r="V78" s="601">
        <v>5555314.7390295761</v>
      </c>
      <c r="W78" s="601">
        <v>6409390.8822960556</v>
      </c>
      <c r="X78" s="601">
        <v>7148193.642613343</v>
      </c>
      <c r="Z78" s="597"/>
      <c r="AB78" s="578" t="s">
        <v>460</v>
      </c>
      <c r="AC78" s="579" t="s">
        <v>165</v>
      </c>
      <c r="AD78" s="580">
        <f t="shared" si="33"/>
        <v>7148193.6399999997</v>
      </c>
      <c r="AF78" s="580">
        <v>7117525.9897256307</v>
      </c>
      <c r="AL78" s="588"/>
    </row>
    <row r="79" spans="2:38">
      <c r="B79" s="578" t="s">
        <v>122</v>
      </c>
      <c r="C79" s="579" t="s">
        <v>165</v>
      </c>
      <c r="E79" s="601">
        <v>339690.7695371451</v>
      </c>
      <c r="F79" s="601">
        <v>385260.35224535671</v>
      </c>
      <c r="G79" s="601">
        <v>436204.03015306464</v>
      </c>
      <c r="H79" s="601">
        <v>510683.10495219164</v>
      </c>
      <c r="I79" s="601">
        <v>559784.64934080269</v>
      </c>
      <c r="J79" s="601">
        <v>596409.41659810371</v>
      </c>
      <c r="K79" s="601">
        <v>641459.94971279206</v>
      </c>
      <c r="L79" s="601">
        <v>633762.7760013619</v>
      </c>
      <c r="M79" s="601">
        <v>733160.93480479612</v>
      </c>
      <c r="N79" s="601">
        <v>841834.43136805308</v>
      </c>
      <c r="O79" s="601">
        <v>918304.33183159551</v>
      </c>
      <c r="P79" s="601">
        <v>963386.94847762352</v>
      </c>
      <c r="Q79" s="601">
        <v>892772.19382477342</v>
      </c>
      <c r="R79" s="601">
        <v>960849.03713470732</v>
      </c>
      <c r="S79" s="601">
        <v>997433.954447294</v>
      </c>
      <c r="T79" s="601">
        <v>1005148.5768713125</v>
      </c>
      <c r="U79" s="601">
        <v>1005223.6016235453</v>
      </c>
      <c r="V79" s="601">
        <v>938854.01468065358</v>
      </c>
      <c r="W79" s="601">
        <v>1071655.8094765656</v>
      </c>
      <c r="X79" s="601">
        <v>1035756.5215654459</v>
      </c>
      <c r="Z79" s="597"/>
      <c r="AB79" s="578" t="s">
        <v>122</v>
      </c>
      <c r="AC79" s="579" t="s">
        <v>165</v>
      </c>
      <c r="AD79" s="580">
        <f t="shared" si="33"/>
        <v>1035756.52</v>
      </c>
      <c r="AF79" s="580">
        <v>1031312.8504692694</v>
      </c>
      <c r="AL79" s="588"/>
    </row>
    <row r="80" spans="2:38">
      <c r="B80" s="578" t="s">
        <v>461</v>
      </c>
      <c r="C80" s="579" t="s">
        <v>165</v>
      </c>
      <c r="E80" s="601">
        <v>183666.41810686249</v>
      </c>
      <c r="F80" s="601">
        <v>192517.32988745201</v>
      </c>
      <c r="G80" s="601">
        <v>199657.14285714287</v>
      </c>
      <c r="H80" s="601">
        <v>219741.33333333334</v>
      </c>
      <c r="I80" s="601">
        <v>237661</v>
      </c>
      <c r="J80" s="601">
        <v>269580.51785714284</v>
      </c>
      <c r="K80" s="601">
        <v>252145.28095238097</v>
      </c>
      <c r="L80" s="601">
        <v>273042.14285714284</v>
      </c>
      <c r="M80" s="601">
        <v>314224.16666666669</v>
      </c>
      <c r="N80" s="601">
        <v>338340</v>
      </c>
      <c r="O80" s="601">
        <v>297568.33333333331</v>
      </c>
      <c r="P80" s="601">
        <v>300230.72727272729</v>
      </c>
      <c r="Q80" s="601">
        <v>301804.18181818182</v>
      </c>
      <c r="R80" s="601">
        <v>304323.71223636362</v>
      </c>
      <c r="S80" s="601">
        <v>306843.24265454547</v>
      </c>
      <c r="T80" s="601">
        <v>309362.77307272726</v>
      </c>
      <c r="U80" s="601">
        <v>311882.30349090911</v>
      </c>
      <c r="V80" s="601">
        <v>314401.8339090909</v>
      </c>
      <c r="W80" s="601">
        <v>316921.36432727269</v>
      </c>
      <c r="X80" s="601">
        <v>319440.89474545454</v>
      </c>
      <c r="Z80" s="597"/>
      <c r="AB80" s="578" t="s">
        <v>461</v>
      </c>
      <c r="AC80" s="579" t="s">
        <v>165</v>
      </c>
      <c r="AD80" s="580">
        <f t="shared" si="33"/>
        <v>319440.89</v>
      </c>
      <c r="AF80" s="580">
        <v>321960.42516363633</v>
      </c>
      <c r="AL80" s="588"/>
    </row>
    <row r="81" spans="2:38">
      <c r="B81" s="578" t="s">
        <v>123</v>
      </c>
      <c r="C81" s="579" t="s">
        <v>165</v>
      </c>
      <c r="E81" s="601">
        <v>166944.91964186693</v>
      </c>
      <c r="F81" s="601">
        <v>170450.57623313746</v>
      </c>
      <c r="G81" s="601">
        <v>173495.20145771306</v>
      </c>
      <c r="H81" s="601">
        <v>182684.43155117275</v>
      </c>
      <c r="I81" s="601">
        <v>192360.37222222224</v>
      </c>
      <c r="J81" s="601">
        <v>205896.9</v>
      </c>
      <c r="K81" s="601">
        <v>135960.166</v>
      </c>
      <c r="L81" s="601">
        <v>191595.57142857142</v>
      </c>
      <c r="M81" s="601">
        <v>266834.5</v>
      </c>
      <c r="N81" s="601">
        <v>231558</v>
      </c>
      <c r="O81" s="601">
        <v>205211.25</v>
      </c>
      <c r="P81" s="601">
        <v>203726.72444444444</v>
      </c>
      <c r="Q81" s="601">
        <v>233132.33333333334</v>
      </c>
      <c r="R81" s="601">
        <v>242686.36008333333</v>
      </c>
      <c r="S81" s="601">
        <v>252240.38683333335</v>
      </c>
      <c r="T81" s="601">
        <v>261794.41358333334</v>
      </c>
      <c r="U81" s="601">
        <v>271348.44033333333</v>
      </c>
      <c r="V81" s="601">
        <v>280902.46708333335</v>
      </c>
      <c r="W81" s="601">
        <v>290456.49383333337</v>
      </c>
      <c r="X81" s="601">
        <v>300010.52058333339</v>
      </c>
      <c r="Z81" s="597"/>
      <c r="AB81" s="578" t="s">
        <v>123</v>
      </c>
      <c r="AC81" s="579" t="s">
        <v>165</v>
      </c>
      <c r="AD81" s="580">
        <f t="shared" si="33"/>
        <v>300010.52</v>
      </c>
      <c r="AF81" s="580">
        <v>309564.54733333341</v>
      </c>
      <c r="AL81" s="588"/>
    </row>
    <row r="82" spans="2:38">
      <c r="B82" s="578" t="s">
        <v>124</v>
      </c>
      <c r="C82" s="579" t="s">
        <v>165</v>
      </c>
      <c r="E82" s="601">
        <v>164361.72714896477</v>
      </c>
      <c r="F82" s="601">
        <v>172151.10429532279</v>
      </c>
      <c r="G82" s="601">
        <v>180086.69115784296</v>
      </c>
      <c r="H82" s="601">
        <v>187853.83693391108</v>
      </c>
      <c r="I82" s="601">
        <v>195955.98</v>
      </c>
      <c r="J82" s="601">
        <v>227003.6035714286</v>
      </c>
      <c r="K82" s="601">
        <v>249428.88148148148</v>
      </c>
      <c r="L82" s="601">
        <v>260741.57142857142</v>
      </c>
      <c r="M82" s="601">
        <v>284077.125</v>
      </c>
      <c r="N82" s="601">
        <v>301228.87857142853</v>
      </c>
      <c r="O82" s="601">
        <v>287092.125</v>
      </c>
      <c r="P82" s="601">
        <v>256266.42555555556</v>
      </c>
      <c r="Q82" s="601">
        <v>268281.3125</v>
      </c>
      <c r="R82" s="601">
        <v>276913.18024999998</v>
      </c>
      <c r="S82" s="601">
        <v>285545.04800000001</v>
      </c>
      <c r="T82" s="601">
        <v>294176.91575000004</v>
      </c>
      <c r="U82" s="601">
        <v>302808.78350000002</v>
      </c>
      <c r="V82" s="601">
        <v>311440.65125</v>
      </c>
      <c r="W82" s="601">
        <v>320072.51900000003</v>
      </c>
      <c r="X82" s="601">
        <v>328704.38675000006</v>
      </c>
      <c r="Z82" s="597"/>
      <c r="AB82" s="578" t="s">
        <v>124</v>
      </c>
      <c r="AC82" s="579" t="s">
        <v>165</v>
      </c>
      <c r="AD82" s="580">
        <f t="shared" si="33"/>
        <v>328704.39</v>
      </c>
      <c r="AF82" s="580">
        <v>337336.25450000004</v>
      </c>
      <c r="AL82" s="588"/>
    </row>
    <row r="83" spans="2:38">
      <c r="B83" s="578" t="s">
        <v>7</v>
      </c>
      <c r="C83" s="579" t="s">
        <v>165</v>
      </c>
      <c r="E83" s="601">
        <v>17875.190726543595</v>
      </c>
      <c r="F83" s="601">
        <v>19268.811344038695</v>
      </c>
      <c r="G83" s="601">
        <v>20425.409090909092</v>
      </c>
      <c r="H83" s="601">
        <v>23558.78947368421</v>
      </c>
      <c r="I83" s="601">
        <v>26054.254545454543</v>
      </c>
      <c r="J83" s="601">
        <v>27497.611111111109</v>
      </c>
      <c r="K83" s="601">
        <v>32575.047826086957</v>
      </c>
      <c r="L83" s="601">
        <v>32852.875</v>
      </c>
      <c r="M83" s="601">
        <v>37225</v>
      </c>
      <c r="N83" s="601">
        <v>40946.980000000003</v>
      </c>
      <c r="O83" s="601">
        <v>35008.714285714283</v>
      </c>
      <c r="P83" s="601">
        <v>38194.5</v>
      </c>
      <c r="Q83" s="601">
        <v>40340.23529411765</v>
      </c>
      <c r="R83" s="601">
        <v>42287.033764705884</v>
      </c>
      <c r="S83" s="601">
        <v>44233.832235294118</v>
      </c>
      <c r="T83" s="601">
        <v>46180.630705882359</v>
      </c>
      <c r="U83" s="601">
        <v>48127.429176470592</v>
      </c>
      <c r="V83" s="601">
        <v>50074.227647058826</v>
      </c>
      <c r="W83" s="601">
        <v>52021.026117647059</v>
      </c>
      <c r="X83" s="601">
        <v>53967.824588235293</v>
      </c>
      <c r="Z83" s="597"/>
      <c r="AB83" s="578" t="s">
        <v>7</v>
      </c>
      <c r="AC83" s="579" t="s">
        <v>165</v>
      </c>
      <c r="AD83" s="580">
        <f t="shared" si="33"/>
        <v>53967.82</v>
      </c>
      <c r="AF83" s="580">
        <v>55914.623058823534</v>
      </c>
      <c r="AL83" s="588"/>
    </row>
    <row r="84" spans="2:38">
      <c r="B84" s="578" t="s">
        <v>462</v>
      </c>
      <c r="C84" s="579" t="s">
        <v>165</v>
      </c>
      <c r="E84" s="601">
        <v>9247.5005586830666</v>
      </c>
      <c r="F84" s="601">
        <v>9455.8375672096026</v>
      </c>
      <c r="G84" s="601">
        <v>9672.3630141065132</v>
      </c>
      <c r="H84" s="601">
        <v>10100.05877013286</v>
      </c>
      <c r="I84" s="601">
        <v>10546.666518963464</v>
      </c>
      <c r="J84" s="601">
        <v>11013.022517369145</v>
      </c>
      <c r="K84" s="601">
        <v>11500</v>
      </c>
      <c r="L84" s="601">
        <v>11000</v>
      </c>
      <c r="M84" s="601">
        <v>11450</v>
      </c>
      <c r="N84" s="601">
        <v>11233.333333333334</v>
      </c>
      <c r="O84" s="601">
        <v>11600</v>
      </c>
      <c r="P84" s="601">
        <v>12344.333333333334</v>
      </c>
      <c r="Q84" s="601">
        <v>14689.6875</v>
      </c>
      <c r="R84" s="601">
        <v>15520.3305</v>
      </c>
      <c r="S84" s="601">
        <v>16350.9735</v>
      </c>
      <c r="T84" s="601">
        <v>17181.6165</v>
      </c>
      <c r="U84" s="601">
        <v>18012.2595</v>
      </c>
      <c r="V84" s="601">
        <v>18842.9025</v>
      </c>
      <c r="W84" s="601">
        <v>19673.5455</v>
      </c>
      <c r="X84" s="601">
        <v>20504.1885</v>
      </c>
      <c r="Z84" s="597"/>
      <c r="AB84" s="578" t="s">
        <v>462</v>
      </c>
      <c r="AC84" s="579" t="s">
        <v>165</v>
      </c>
      <c r="AD84" s="580">
        <f t="shared" si="33"/>
        <v>20504.189999999999</v>
      </c>
      <c r="AF84" s="580">
        <v>21334.8315</v>
      </c>
      <c r="AL84" s="588"/>
    </row>
    <row r="85" spans="2:38">
      <c r="B85" s="578" t="s">
        <v>8</v>
      </c>
      <c r="C85" s="579" t="s">
        <v>165</v>
      </c>
      <c r="E85" s="601">
        <v>6562.7382600020483</v>
      </c>
      <c r="F85" s="601">
        <v>7230.1351572921212</v>
      </c>
      <c r="G85" s="601">
        <v>7262.2</v>
      </c>
      <c r="H85" s="601">
        <v>12622.733333333334</v>
      </c>
      <c r="I85" s="601">
        <v>13904.273809523809</v>
      </c>
      <c r="J85" s="601">
        <v>12979.992307692308</v>
      </c>
      <c r="K85" s="601">
        <v>11093.472</v>
      </c>
      <c r="L85" s="601">
        <v>13075.833333333334</v>
      </c>
      <c r="M85" s="601">
        <v>13094.714285714286</v>
      </c>
      <c r="N85" s="601">
        <v>12828.324999999999</v>
      </c>
      <c r="O85" s="601">
        <v>16235.050000000001</v>
      </c>
      <c r="P85" s="601">
        <v>14118.497999999998</v>
      </c>
      <c r="Q85" s="601">
        <v>11660.5</v>
      </c>
      <c r="R85" s="601">
        <v>12141.2</v>
      </c>
      <c r="S85" s="601">
        <v>12621.9</v>
      </c>
      <c r="T85" s="601">
        <v>13102.6</v>
      </c>
      <c r="U85" s="601">
        <v>13583.3</v>
      </c>
      <c r="V85" s="601">
        <v>14064</v>
      </c>
      <c r="W85" s="601">
        <v>14544.7</v>
      </c>
      <c r="X85" s="601">
        <v>15025.4</v>
      </c>
      <c r="Z85" s="597"/>
      <c r="AB85" s="578" t="s">
        <v>8</v>
      </c>
      <c r="AC85" s="579" t="s">
        <v>165</v>
      </c>
      <c r="AD85" s="580">
        <f t="shared" si="33"/>
        <v>15025.4</v>
      </c>
      <c r="AF85" s="580">
        <v>15506.1</v>
      </c>
      <c r="AL85" s="588"/>
    </row>
    <row r="86" spans="2:38">
      <c r="B86" s="578" t="s">
        <v>10</v>
      </c>
      <c r="C86" s="579" t="s">
        <v>165</v>
      </c>
      <c r="E86" s="601">
        <v>3999.6673830167988</v>
      </c>
      <c r="F86" s="601">
        <v>3990.0553393770024</v>
      </c>
      <c r="G86" s="601">
        <v>4369.25</v>
      </c>
      <c r="H86" s="601">
        <v>2591.1111111111113</v>
      </c>
      <c r="I86" s="601">
        <v>2957.2452380952382</v>
      </c>
      <c r="J86" s="601">
        <v>3480.4076923076927</v>
      </c>
      <c r="K86" s="601">
        <v>3918.8739999999998</v>
      </c>
      <c r="L86" s="601">
        <v>4382.166666666667</v>
      </c>
      <c r="M86" s="601">
        <v>5037</v>
      </c>
      <c r="N86" s="601">
        <v>5373.8549999999996</v>
      </c>
      <c r="O86" s="601">
        <v>4707.1857142857143</v>
      </c>
      <c r="P86" s="601">
        <v>5035.5959999999995</v>
      </c>
      <c r="Q86" s="601">
        <v>5282.8125</v>
      </c>
      <c r="R86" s="601">
        <v>5524.9764500000001</v>
      </c>
      <c r="S86" s="601">
        <v>5767.1404000000002</v>
      </c>
      <c r="T86" s="601">
        <v>6009.3043500000003</v>
      </c>
      <c r="U86" s="601">
        <v>6251.4683000000005</v>
      </c>
      <c r="V86" s="601">
        <v>6493.6322500000006</v>
      </c>
      <c r="W86" s="601">
        <v>6735.7962000000007</v>
      </c>
      <c r="X86" s="601">
        <v>6977.9601499999999</v>
      </c>
      <c r="Z86" s="597"/>
      <c r="AB86" s="578" t="s">
        <v>10</v>
      </c>
      <c r="AC86" s="579" t="s">
        <v>165</v>
      </c>
      <c r="AD86" s="580">
        <f t="shared" si="33"/>
        <v>6977.96</v>
      </c>
      <c r="AF86" s="580">
        <v>7220.1241</v>
      </c>
      <c r="AL86" s="588"/>
    </row>
    <row r="87" spans="2:38">
      <c r="B87" s="578" t="s">
        <v>9</v>
      </c>
      <c r="C87" s="579" t="s">
        <v>165</v>
      </c>
      <c r="E87" s="601">
        <v>2338.654367734006</v>
      </c>
      <c r="F87" s="601">
        <v>2486.5533622767316</v>
      </c>
      <c r="G87" s="601">
        <v>2688.3928571428573</v>
      </c>
      <c r="H87" s="601">
        <v>2608.1904761904761</v>
      </c>
      <c r="I87" s="601">
        <v>2752.7589285714284</v>
      </c>
      <c r="J87" s="601">
        <v>3535.335</v>
      </c>
      <c r="K87" s="601">
        <v>3596.485714285714</v>
      </c>
      <c r="L87" s="601">
        <v>4326.666666666667</v>
      </c>
      <c r="M87" s="601">
        <v>5257</v>
      </c>
      <c r="N87" s="601">
        <v>5036.0630000000001</v>
      </c>
      <c r="O87" s="601">
        <v>4623.7714285714292</v>
      </c>
      <c r="P87" s="601">
        <v>4477.37</v>
      </c>
      <c r="Q87" s="601">
        <v>4741.8666666666668</v>
      </c>
      <c r="R87" s="601">
        <v>4966.5758000000005</v>
      </c>
      <c r="S87" s="601">
        <v>5191.2849333333334</v>
      </c>
      <c r="T87" s="601">
        <v>5415.9940666666671</v>
      </c>
      <c r="U87" s="601">
        <v>5640.7031999999999</v>
      </c>
      <c r="V87" s="601">
        <v>5865.4123333333337</v>
      </c>
      <c r="W87" s="601">
        <v>6090.1214666666674</v>
      </c>
      <c r="X87" s="601">
        <v>6314.8306000000002</v>
      </c>
      <c r="Z87" s="597"/>
      <c r="AB87" s="578" t="s">
        <v>9</v>
      </c>
      <c r="AC87" s="579" t="s">
        <v>165</v>
      </c>
      <c r="AD87" s="580">
        <f t="shared" si="33"/>
        <v>6314.83</v>
      </c>
      <c r="AF87" s="580">
        <v>6539.539733333334</v>
      </c>
      <c r="AL87" s="588"/>
    </row>
    <row r="88" spans="2:38">
      <c r="B88" s="578" t="s">
        <v>33</v>
      </c>
      <c r="C88" s="579" t="s">
        <v>165</v>
      </c>
      <c r="E88" s="601">
        <v>1788.3961429060689</v>
      </c>
      <c r="F88" s="601">
        <v>2114.3499212459828</v>
      </c>
      <c r="G88" s="601">
        <v>2435.7692307692309</v>
      </c>
      <c r="H88" s="601">
        <v>2887.0769230769229</v>
      </c>
      <c r="I88" s="601">
        <v>3172.3333333333335</v>
      </c>
      <c r="J88" s="601">
        <v>4488.3357142857139</v>
      </c>
      <c r="K88" s="601">
        <v>5098.5516666666672</v>
      </c>
      <c r="L88" s="601">
        <v>5528.75</v>
      </c>
      <c r="M88" s="601">
        <v>7000</v>
      </c>
      <c r="N88" s="601">
        <v>6743.5375000000004</v>
      </c>
      <c r="O88" s="601">
        <v>7259.9285714285716</v>
      </c>
      <c r="P88" s="601">
        <v>7793.0860000000002</v>
      </c>
      <c r="Q88" s="601">
        <v>7430.5</v>
      </c>
      <c r="R88" s="601">
        <v>7881.3689999999997</v>
      </c>
      <c r="S88" s="601">
        <v>8332.2379999999994</v>
      </c>
      <c r="T88" s="601">
        <v>8783.107</v>
      </c>
      <c r="U88" s="601">
        <v>9233.9760000000006</v>
      </c>
      <c r="V88" s="601">
        <v>9684.8450000000012</v>
      </c>
      <c r="W88" s="601">
        <v>10135.714</v>
      </c>
      <c r="X88" s="601">
        <v>10586.583000000001</v>
      </c>
      <c r="Z88" s="597"/>
      <c r="AB88" s="578" t="s">
        <v>33</v>
      </c>
      <c r="AC88" s="579" t="s">
        <v>165</v>
      </c>
      <c r="AD88" s="580">
        <f t="shared" si="33"/>
        <v>10586.58</v>
      </c>
      <c r="AF88" s="580">
        <v>11037.452000000001</v>
      </c>
      <c r="AL88" s="588"/>
    </row>
    <row r="89" spans="2:38">
      <c r="B89" s="578" t="s">
        <v>463</v>
      </c>
      <c r="C89" s="579" t="s">
        <v>165</v>
      </c>
      <c r="E89" s="601">
        <v>2347.0886498177356</v>
      </c>
      <c r="F89" s="601">
        <v>2580.2802510272313</v>
      </c>
      <c r="G89" s="601">
        <v>2764.0526315789475</v>
      </c>
      <c r="H89" s="601">
        <v>3344.625</v>
      </c>
      <c r="I89" s="601">
        <v>3524.0124999999998</v>
      </c>
      <c r="J89" s="601">
        <v>3691.25</v>
      </c>
      <c r="K89" s="601">
        <v>3419.4660000000003</v>
      </c>
      <c r="L89" s="601">
        <v>4348.833333333333</v>
      </c>
      <c r="M89" s="601">
        <v>5066.333333333333</v>
      </c>
      <c r="N89" s="601">
        <v>6098.6</v>
      </c>
      <c r="O89" s="601">
        <v>7256</v>
      </c>
      <c r="P89" s="601">
        <v>6696.2011111111105</v>
      </c>
      <c r="Q89" s="601">
        <v>6177.6</v>
      </c>
      <c r="R89" s="601">
        <v>6736.7466000000004</v>
      </c>
      <c r="S89" s="601">
        <v>7295.8932000000004</v>
      </c>
      <c r="T89" s="601">
        <v>7855.0398000000005</v>
      </c>
      <c r="U89" s="601">
        <v>8414.1864000000005</v>
      </c>
      <c r="V89" s="601">
        <v>8973.3330000000005</v>
      </c>
      <c r="W89" s="601">
        <v>9532.4796000000006</v>
      </c>
      <c r="X89" s="601">
        <v>10091.626200000001</v>
      </c>
      <c r="Z89" s="597"/>
      <c r="AB89" s="578" t="s">
        <v>463</v>
      </c>
      <c r="AC89" s="579" t="s">
        <v>165</v>
      </c>
      <c r="AD89" s="580">
        <f t="shared" si="33"/>
        <v>10091.629999999999</v>
      </c>
      <c r="AF89" s="580">
        <v>10650.772800000001</v>
      </c>
      <c r="AL89" s="588"/>
    </row>
    <row r="90" spans="2:38">
      <c r="B90" s="578" t="s">
        <v>11</v>
      </c>
      <c r="C90" s="579" t="s">
        <v>165</v>
      </c>
      <c r="E90" s="601">
        <v>644.0290320416641</v>
      </c>
      <c r="F90" s="601">
        <v>930.83427544295932</v>
      </c>
      <c r="G90" s="601">
        <v>1248.5999999999999</v>
      </c>
      <c r="H90" s="601">
        <v>1601.3636363636363</v>
      </c>
      <c r="I90" s="601">
        <v>1917.7571428571428</v>
      </c>
      <c r="J90" s="601">
        <v>2937.5</v>
      </c>
      <c r="K90" s="601">
        <v>3673.8985714285714</v>
      </c>
      <c r="L90" s="601">
        <v>3743.6</v>
      </c>
      <c r="M90" s="601">
        <v>5081.25</v>
      </c>
      <c r="N90" s="601">
        <v>4589.7266666666665</v>
      </c>
      <c r="O90" s="601">
        <v>7831.05</v>
      </c>
      <c r="P90" s="601">
        <v>8041.9214285714279</v>
      </c>
      <c r="Q90" s="601">
        <v>6922.7692307692305</v>
      </c>
      <c r="R90" s="601">
        <v>7137.9675076923077</v>
      </c>
      <c r="S90" s="601">
        <v>7353.1657846153848</v>
      </c>
      <c r="T90" s="601">
        <v>7568.3640615384611</v>
      </c>
      <c r="U90" s="601">
        <v>7783.5623384615383</v>
      </c>
      <c r="V90" s="601">
        <v>7998.7606153846154</v>
      </c>
      <c r="W90" s="601">
        <v>8213.9588923076917</v>
      </c>
      <c r="X90" s="601">
        <v>8429.1571692307698</v>
      </c>
      <c r="Z90" s="597"/>
      <c r="AB90" s="578" t="s">
        <v>11</v>
      </c>
      <c r="AC90" s="579" t="s">
        <v>165</v>
      </c>
      <c r="AD90" s="580">
        <f t="shared" si="33"/>
        <v>8429.16</v>
      </c>
      <c r="AF90" s="580">
        <v>8644.3554461538461</v>
      </c>
      <c r="AL90" s="588"/>
    </row>
    <row r="91" spans="2:38">
      <c r="B91" s="578" t="s">
        <v>125</v>
      </c>
      <c r="C91" s="579" t="s">
        <v>165</v>
      </c>
      <c r="E91" s="601">
        <v>3555.6707316137217</v>
      </c>
      <c r="F91" s="601">
        <v>3705.714910346614</v>
      </c>
      <c r="G91" s="601">
        <v>3857.590057141746</v>
      </c>
      <c r="H91" s="601">
        <v>4082.0956063736689</v>
      </c>
      <c r="I91" s="601">
        <v>4319.6670182009739</v>
      </c>
      <c r="J91" s="601">
        <v>4571.0647048537621</v>
      </c>
      <c r="K91" s="601">
        <v>4837.0933333333332</v>
      </c>
      <c r="L91" s="601">
        <v>4277.5</v>
      </c>
      <c r="M91" s="601">
        <v>5209.2857142857147</v>
      </c>
      <c r="N91" s="601">
        <v>6133.1449999999995</v>
      </c>
      <c r="O91" s="601">
        <v>6021.393287500001</v>
      </c>
      <c r="P91" s="601">
        <v>6307.358888888888</v>
      </c>
      <c r="Q91" s="601">
        <v>6562.333333333333</v>
      </c>
      <c r="R91" s="601">
        <v>6724.95</v>
      </c>
      <c r="S91" s="601">
        <v>6887.5666666666666</v>
      </c>
      <c r="T91" s="601">
        <v>7050.1833333333334</v>
      </c>
      <c r="U91" s="601">
        <v>7212.8</v>
      </c>
      <c r="V91" s="601">
        <v>7375.4166666666661</v>
      </c>
      <c r="W91" s="601">
        <v>7538.0333333333328</v>
      </c>
      <c r="X91" s="601">
        <v>7700.65</v>
      </c>
      <c r="Z91" s="597"/>
      <c r="AB91" s="578" t="s">
        <v>125</v>
      </c>
      <c r="AC91" s="579" t="s">
        <v>165</v>
      </c>
      <c r="AD91" s="580">
        <f t="shared" si="33"/>
        <v>7700.65</v>
      </c>
      <c r="AF91" s="580">
        <v>7863.2666666666664</v>
      </c>
      <c r="AL91" s="588"/>
    </row>
    <row r="92" spans="2:38">
      <c r="B92" s="578" t="s">
        <v>52</v>
      </c>
      <c r="C92" s="579" t="s">
        <v>165</v>
      </c>
      <c r="E92" s="601">
        <v>4963.1147186646795</v>
      </c>
      <c r="F92" s="601">
        <v>5146.847871534238</v>
      </c>
      <c r="G92" s="601">
        <v>5181.9047619047615</v>
      </c>
      <c r="H92" s="601">
        <v>6560.919047619047</v>
      </c>
      <c r="I92" s="601">
        <v>7939.9333333333334</v>
      </c>
      <c r="J92" s="601">
        <v>7766.0812500000002</v>
      </c>
      <c r="K92" s="601">
        <v>5831.958333333333</v>
      </c>
      <c r="L92" s="601">
        <v>7256.4</v>
      </c>
      <c r="M92" s="601">
        <v>5319.5</v>
      </c>
      <c r="N92" s="601">
        <v>5115.1010000000006</v>
      </c>
      <c r="O92" s="601">
        <v>6883.68</v>
      </c>
      <c r="P92" s="601">
        <v>7272.1212500000001</v>
      </c>
      <c r="Q92" s="601">
        <v>8152</v>
      </c>
      <c r="R92" s="601">
        <v>7978.4070000000002</v>
      </c>
      <c r="S92" s="601">
        <v>7804.8140000000003</v>
      </c>
      <c r="T92" s="601">
        <v>7631.2209999999995</v>
      </c>
      <c r="U92" s="601">
        <v>7457.6279999999997</v>
      </c>
      <c r="V92" s="601">
        <v>7284.0349999999999</v>
      </c>
      <c r="W92" s="601">
        <v>7110.442</v>
      </c>
      <c r="X92" s="601">
        <v>6936.8490000000002</v>
      </c>
      <c r="Z92" s="597"/>
      <c r="AB92" s="578" t="s">
        <v>52</v>
      </c>
      <c r="AC92" s="579" t="s">
        <v>165</v>
      </c>
      <c r="AD92" s="580">
        <f t="shared" si="33"/>
        <v>6936.85</v>
      </c>
      <c r="AF92" s="580">
        <v>6763.2559999999994</v>
      </c>
      <c r="AL92" s="588"/>
    </row>
    <row r="93" spans="2:38">
      <c r="B93" s="578" t="s">
        <v>51</v>
      </c>
      <c r="C93" s="579" t="s">
        <v>165</v>
      </c>
      <c r="E93" s="601">
        <v>2936.4592606034739</v>
      </c>
      <c r="F93" s="601">
        <v>3143.1967504891832</v>
      </c>
      <c r="G93" s="601">
        <v>3271.6363636363635</v>
      </c>
      <c r="H93" s="601">
        <v>4083.5454545454545</v>
      </c>
      <c r="I93" s="601">
        <v>3974.6764705882351</v>
      </c>
      <c r="J93" s="601">
        <v>3777.8208333333332</v>
      </c>
      <c r="K93" s="601">
        <v>4317.4444444444443</v>
      </c>
      <c r="L93" s="601">
        <v>4921.25</v>
      </c>
      <c r="M93" s="601">
        <v>5075</v>
      </c>
      <c r="N93" s="601">
        <v>5225.8571428571431</v>
      </c>
      <c r="O93" s="601">
        <v>6783.06</v>
      </c>
      <c r="P93" s="601">
        <v>6174.82</v>
      </c>
      <c r="Q93" s="601">
        <v>7319.2</v>
      </c>
      <c r="R93" s="601">
        <v>7373.9546</v>
      </c>
      <c r="S93" s="601">
        <v>7428.7092000000002</v>
      </c>
      <c r="T93" s="601">
        <v>7483.4638000000004</v>
      </c>
      <c r="U93" s="601">
        <v>7538.2184000000007</v>
      </c>
      <c r="V93" s="601">
        <v>7592.973</v>
      </c>
      <c r="W93" s="601">
        <v>7647.7276000000002</v>
      </c>
      <c r="X93" s="601">
        <v>7702.4822000000004</v>
      </c>
      <c r="Z93" s="597"/>
      <c r="AB93" s="578" t="s">
        <v>51</v>
      </c>
      <c r="AC93" s="579" t="s">
        <v>165</v>
      </c>
      <c r="AD93" s="580">
        <f t="shared" si="33"/>
        <v>7702.48</v>
      </c>
      <c r="AF93" s="580">
        <v>7757.2368000000006</v>
      </c>
      <c r="AL93" s="588"/>
    </row>
    <row r="94" spans="2:38">
      <c r="B94" s="578" t="s">
        <v>53</v>
      </c>
      <c r="C94" s="579" t="s">
        <v>165</v>
      </c>
      <c r="E94" s="601">
        <v>1505.614116234633</v>
      </c>
      <c r="F94" s="601">
        <v>1625.5957512238761</v>
      </c>
      <c r="G94" s="601">
        <v>1819.421052631579</v>
      </c>
      <c r="H94" s="601">
        <v>1642.7857142857142</v>
      </c>
      <c r="I94" s="601">
        <v>2001.7521611284494</v>
      </c>
      <c r="J94" s="601">
        <v>2543.0497164680551</v>
      </c>
      <c r="K94" s="601">
        <v>2666.8</v>
      </c>
      <c r="L94" s="601">
        <v>3204.8571428571427</v>
      </c>
      <c r="M94" s="601">
        <v>3023</v>
      </c>
      <c r="N94" s="601">
        <v>4634.5</v>
      </c>
      <c r="O94" s="601">
        <v>3195.3774666666664</v>
      </c>
      <c r="P94" s="601">
        <v>3732.4674999999997</v>
      </c>
      <c r="Q94" s="601">
        <v>3366.9166666666665</v>
      </c>
      <c r="R94" s="601">
        <v>3459.85</v>
      </c>
      <c r="S94" s="601">
        <v>3552.7833333333333</v>
      </c>
      <c r="T94" s="601">
        <v>3645.7166666666667</v>
      </c>
      <c r="U94" s="601">
        <v>3738.65</v>
      </c>
      <c r="V94" s="601">
        <v>3831.5833333333335</v>
      </c>
      <c r="W94" s="601">
        <v>3924.5166666666664</v>
      </c>
      <c r="X94" s="601">
        <v>4017.45</v>
      </c>
      <c r="Z94" s="597"/>
      <c r="AB94" s="578" t="s">
        <v>53</v>
      </c>
      <c r="AC94" s="579" t="s">
        <v>165</v>
      </c>
      <c r="AD94" s="580">
        <f t="shared" si="33"/>
        <v>4017.45</v>
      </c>
      <c r="AF94" s="580">
        <v>4110.3833333333332</v>
      </c>
      <c r="AL94" s="588"/>
    </row>
    <row r="95" spans="2:38">
      <c r="B95" s="578" t="s">
        <v>50</v>
      </c>
      <c r="C95" s="579" t="s">
        <v>165</v>
      </c>
      <c r="E95" s="601">
        <v>1806.6993703308422</v>
      </c>
      <c r="F95" s="601">
        <v>1905.0647689363177</v>
      </c>
      <c r="G95" s="601">
        <v>2003.7922781646578</v>
      </c>
      <c r="H95" s="601">
        <v>2172.8733748162708</v>
      </c>
      <c r="I95" s="601">
        <v>2356.2216275780456</v>
      </c>
      <c r="J95" s="601">
        <v>2555.0409069446901</v>
      </c>
      <c r="K95" s="601">
        <v>2770.6366666666668</v>
      </c>
      <c r="L95" s="601">
        <v>1964.4</v>
      </c>
      <c r="M95" s="601">
        <v>2712.375</v>
      </c>
      <c r="N95" s="601">
        <v>3091.3512499999997</v>
      </c>
      <c r="O95" s="601">
        <v>3839.5</v>
      </c>
      <c r="P95" s="601">
        <v>3715.5587500000001</v>
      </c>
      <c r="Q95" s="601">
        <v>3964.7142857142858</v>
      </c>
      <c r="R95" s="601">
        <v>4180.0560571428568</v>
      </c>
      <c r="S95" s="601">
        <v>4395.3978285714284</v>
      </c>
      <c r="T95" s="601">
        <v>4610.7395999999999</v>
      </c>
      <c r="U95" s="601">
        <v>4826.0813714285714</v>
      </c>
      <c r="V95" s="601">
        <v>5041.4231428571429</v>
      </c>
      <c r="W95" s="601">
        <v>5256.7649142857144</v>
      </c>
      <c r="X95" s="601">
        <v>5472.106685714285</v>
      </c>
      <c r="Z95" s="597"/>
      <c r="AB95" s="578" t="s">
        <v>50</v>
      </c>
      <c r="AC95" s="579" t="s">
        <v>165</v>
      </c>
      <c r="AD95" s="580">
        <f t="shared" si="33"/>
        <v>5472.11</v>
      </c>
      <c r="AF95" s="580">
        <v>5687.4484571428566</v>
      </c>
      <c r="AL95" s="588"/>
    </row>
    <row r="96" spans="2:38">
      <c r="B96" s="578" t="s">
        <v>464</v>
      </c>
      <c r="C96" s="579" t="s">
        <v>165</v>
      </c>
      <c r="E96" s="601">
        <v>1027.2458408469879</v>
      </c>
      <c r="F96" s="601">
        <v>1089.6913273486959</v>
      </c>
      <c r="G96" s="601">
        <v>1129.7647058823529</v>
      </c>
      <c r="H96" s="601">
        <v>1364</v>
      </c>
      <c r="I96" s="601">
        <v>1276.9842105263158</v>
      </c>
      <c r="J96" s="601">
        <v>1275.5083333333334</v>
      </c>
      <c r="K96" s="601">
        <v>1415.0071428571428</v>
      </c>
      <c r="L96" s="601">
        <v>1446.2</v>
      </c>
      <c r="M96" s="601">
        <v>1951</v>
      </c>
      <c r="N96" s="601">
        <v>1993.2049999999999</v>
      </c>
      <c r="O96" s="601">
        <v>2033.9666666666665</v>
      </c>
      <c r="P96" s="601">
        <v>2102.877</v>
      </c>
      <c r="Q96" s="601">
        <v>2136.1875</v>
      </c>
      <c r="R96" s="601">
        <v>2266.6655277777777</v>
      </c>
      <c r="S96" s="601">
        <v>2397.1435555555554</v>
      </c>
      <c r="T96" s="601">
        <v>2527.6215833333335</v>
      </c>
      <c r="U96" s="601">
        <v>2658.0996111111112</v>
      </c>
      <c r="V96" s="601">
        <v>2788.5776388888889</v>
      </c>
      <c r="W96" s="601">
        <v>2919.0556666666666</v>
      </c>
      <c r="X96" s="601">
        <v>3049.5336944444443</v>
      </c>
      <c r="Z96" s="597"/>
      <c r="AB96" s="578" t="s">
        <v>464</v>
      </c>
      <c r="AC96" s="579" t="s">
        <v>165</v>
      </c>
      <c r="AD96" s="580">
        <f t="shared" si="33"/>
        <v>3049.53</v>
      </c>
      <c r="AF96" s="580">
        <v>3180.0117222222225</v>
      </c>
      <c r="AL96" s="588"/>
    </row>
    <row r="97" spans="2:38">
      <c r="B97" s="578" t="s">
        <v>54</v>
      </c>
      <c r="C97" s="579" t="s">
        <v>165</v>
      </c>
      <c r="E97" s="601">
        <v>3120.767028075134</v>
      </c>
      <c r="F97" s="601">
        <v>3529.4263468533077</v>
      </c>
      <c r="G97" s="601">
        <v>3899</v>
      </c>
      <c r="H97" s="601">
        <v>4612.5333333333338</v>
      </c>
      <c r="I97" s="601">
        <v>5557.5033333333331</v>
      </c>
      <c r="J97" s="601">
        <v>6093.708333333333</v>
      </c>
      <c r="K97" s="601">
        <v>6238.8468750000002</v>
      </c>
      <c r="L97" s="601">
        <v>7625</v>
      </c>
      <c r="M97" s="601">
        <v>7622</v>
      </c>
      <c r="N97" s="601">
        <v>9174.2749999999996</v>
      </c>
      <c r="O97" s="601">
        <v>11333.383333333333</v>
      </c>
      <c r="P97" s="601">
        <v>11053.5</v>
      </c>
      <c r="Q97" s="601">
        <v>9406.9285714285706</v>
      </c>
      <c r="R97" s="601">
        <v>10494.419714285714</v>
      </c>
      <c r="S97" s="601">
        <v>11581.910857142857</v>
      </c>
      <c r="T97" s="601">
        <v>12669.401999999998</v>
      </c>
      <c r="U97" s="601">
        <v>13756.893142857141</v>
      </c>
      <c r="V97" s="601">
        <v>14844.384285714284</v>
      </c>
      <c r="W97" s="601">
        <v>15931.875428571428</v>
      </c>
      <c r="X97" s="601">
        <v>17019.366571428571</v>
      </c>
      <c r="Z97" s="597"/>
      <c r="AB97" s="578" t="s">
        <v>54</v>
      </c>
      <c r="AC97" s="579" t="s">
        <v>165</v>
      </c>
      <c r="AD97" s="580">
        <f t="shared" si="33"/>
        <v>17019.37</v>
      </c>
      <c r="AF97" s="580">
        <v>18106.857714285714</v>
      </c>
      <c r="AL97" s="588"/>
    </row>
    <row r="98" spans="2:38">
      <c r="B98" s="578" t="s">
        <v>56</v>
      </c>
      <c r="C98" s="579" t="s">
        <v>165</v>
      </c>
      <c r="E98" s="601">
        <v>1771.0867063179471</v>
      </c>
      <c r="F98" s="601">
        <v>1984.238944590956</v>
      </c>
      <c r="G98" s="601">
        <v>2213.0611352137635</v>
      </c>
      <c r="H98" s="601">
        <v>2461.9010179936054</v>
      </c>
      <c r="I98" s="601">
        <v>2738.7208269836215</v>
      </c>
      <c r="J98" s="601">
        <v>3046.6666666666665</v>
      </c>
      <c r="K98" s="601">
        <v>3939.3849999999998</v>
      </c>
      <c r="L98" s="601">
        <v>4160.5714285714284</v>
      </c>
      <c r="M98" s="601">
        <v>4790</v>
      </c>
      <c r="N98" s="601">
        <v>4735.2066666666669</v>
      </c>
      <c r="O98" s="601">
        <v>4884.8571428571431</v>
      </c>
      <c r="P98" s="601">
        <v>6081.4877777777774</v>
      </c>
      <c r="Q98" s="601">
        <v>6212.3125</v>
      </c>
      <c r="R98" s="601">
        <v>6430.3163750000003</v>
      </c>
      <c r="S98" s="601">
        <v>6648.3202499999998</v>
      </c>
      <c r="T98" s="601">
        <v>6866.3241250000001</v>
      </c>
      <c r="U98" s="601">
        <v>7084.3279999999995</v>
      </c>
      <c r="V98" s="601">
        <v>7302.3318749999999</v>
      </c>
      <c r="W98" s="601">
        <v>7520.3357500000002</v>
      </c>
      <c r="X98" s="601">
        <v>7738.3396249999996</v>
      </c>
      <c r="Z98" s="597"/>
      <c r="AB98" s="578" t="s">
        <v>56</v>
      </c>
      <c r="AC98" s="579" t="s">
        <v>165</v>
      </c>
      <c r="AD98" s="580">
        <f t="shared" si="33"/>
        <v>7738.34</v>
      </c>
      <c r="AF98" s="580">
        <v>7956.3434999999999</v>
      </c>
      <c r="AL98" s="588"/>
    </row>
    <row r="99" spans="2:38">
      <c r="B99" s="578" t="s">
        <v>58</v>
      </c>
      <c r="C99" s="579" t="s">
        <v>165</v>
      </c>
      <c r="E99" s="601">
        <v>2722.4294199380979</v>
      </c>
      <c r="F99" s="601">
        <v>2828.9731854700722</v>
      </c>
      <c r="G99" s="601">
        <v>2886.1428571428573</v>
      </c>
      <c r="H99" s="601">
        <v>3451.6666666666665</v>
      </c>
      <c r="I99" s="601">
        <v>3214.1153846153848</v>
      </c>
      <c r="J99" s="601">
        <v>2491.2583091828324</v>
      </c>
      <c r="K99" s="601">
        <v>2789.0027488454734</v>
      </c>
      <c r="L99" s="601">
        <v>3122.3323187305596</v>
      </c>
      <c r="M99" s="601">
        <v>3495.5</v>
      </c>
      <c r="N99" s="601">
        <v>4302.4633333333331</v>
      </c>
      <c r="O99" s="601">
        <v>3925.8</v>
      </c>
      <c r="P99" s="601">
        <v>6455.4</v>
      </c>
      <c r="Q99" s="601">
        <v>5179.2142857142853</v>
      </c>
      <c r="R99" s="601">
        <v>5558.2946571428565</v>
      </c>
      <c r="S99" s="601">
        <v>5937.3750285714286</v>
      </c>
      <c r="T99" s="601">
        <v>6316.4553999999998</v>
      </c>
      <c r="U99" s="601">
        <v>6695.535771428571</v>
      </c>
      <c r="V99" s="601">
        <v>7074.6161428571431</v>
      </c>
      <c r="W99" s="601">
        <v>7453.6965142857143</v>
      </c>
      <c r="X99" s="601">
        <v>7832.7768857142855</v>
      </c>
      <c r="Z99" s="597"/>
      <c r="AB99" s="578" t="s">
        <v>58</v>
      </c>
      <c r="AC99" s="579" t="s">
        <v>165</v>
      </c>
      <c r="AD99" s="580">
        <f t="shared" si="33"/>
        <v>7832.78</v>
      </c>
      <c r="AF99" s="580">
        <v>8211.8572571428576</v>
      </c>
      <c r="AL99" s="588"/>
    </row>
    <row r="100" spans="2:38">
      <c r="B100" s="578" t="s">
        <v>57</v>
      </c>
      <c r="C100" s="579" t="s">
        <v>165</v>
      </c>
      <c r="E100" s="601">
        <v>458.21552874227211</v>
      </c>
      <c r="F100" s="601">
        <v>524.98044050403723</v>
      </c>
      <c r="G100" s="601">
        <v>584.4375</v>
      </c>
      <c r="H100" s="601">
        <v>703.4666666666667</v>
      </c>
      <c r="I100" s="601">
        <v>692.50277777777774</v>
      </c>
      <c r="J100" s="601">
        <v>792.8458333333333</v>
      </c>
      <c r="K100" s="601">
        <v>1038.9033333333332</v>
      </c>
      <c r="L100" s="601">
        <v>1229.25</v>
      </c>
      <c r="M100" s="601">
        <v>1106</v>
      </c>
      <c r="N100" s="601">
        <v>1454.7159999999999</v>
      </c>
      <c r="O100" s="601">
        <v>1626</v>
      </c>
      <c r="P100" s="601">
        <v>2109.1428571428573</v>
      </c>
      <c r="Q100" s="601">
        <v>1632.2727272727273</v>
      </c>
      <c r="R100" s="601">
        <v>1650.8720545454546</v>
      </c>
      <c r="S100" s="601">
        <v>1669.4713818181817</v>
      </c>
      <c r="T100" s="601">
        <v>1688.0707090909091</v>
      </c>
      <c r="U100" s="601">
        <v>1706.6700363636364</v>
      </c>
      <c r="V100" s="601">
        <v>1725.2693636363638</v>
      </c>
      <c r="W100" s="601">
        <v>1743.8686909090909</v>
      </c>
      <c r="X100" s="601">
        <v>1762.4680181818183</v>
      </c>
      <c r="Z100" s="597"/>
      <c r="AB100" s="578" t="s">
        <v>57</v>
      </c>
      <c r="AC100" s="579" t="s">
        <v>165</v>
      </c>
      <c r="AD100" s="580">
        <f t="shared" si="33"/>
        <v>1762.47</v>
      </c>
      <c r="AF100" s="580">
        <v>1781.0673454545456</v>
      </c>
      <c r="AL100" s="588"/>
    </row>
    <row r="101" spans="2:38">
      <c r="B101" s="578" t="s">
        <v>55</v>
      </c>
      <c r="C101" s="579" t="s">
        <v>165</v>
      </c>
      <c r="E101" s="601">
        <v>745.64475028665959</v>
      </c>
      <c r="F101" s="601">
        <v>792.98302949743743</v>
      </c>
      <c r="G101" s="601">
        <v>840.5</v>
      </c>
      <c r="H101" s="601">
        <v>914.16666666666663</v>
      </c>
      <c r="I101" s="601">
        <v>874.984375</v>
      </c>
      <c r="J101" s="601">
        <v>838.75</v>
      </c>
      <c r="K101" s="601">
        <v>1197.0911764705882</v>
      </c>
      <c r="L101" s="601">
        <v>1499</v>
      </c>
      <c r="M101" s="601">
        <v>1489</v>
      </c>
      <c r="N101" s="601">
        <v>1453.0250000000001</v>
      </c>
      <c r="O101" s="601">
        <v>1349.600275</v>
      </c>
      <c r="P101" s="601">
        <v>1476.5714285714287</v>
      </c>
      <c r="Q101" s="601">
        <v>1728.2</v>
      </c>
      <c r="R101" s="601">
        <v>1783.43</v>
      </c>
      <c r="S101" s="601">
        <v>1838.66</v>
      </c>
      <c r="T101" s="601">
        <v>1893.89</v>
      </c>
      <c r="U101" s="601">
        <v>1949.1200000000001</v>
      </c>
      <c r="V101" s="601">
        <v>2004.35</v>
      </c>
      <c r="W101" s="601">
        <v>2059.58</v>
      </c>
      <c r="X101" s="601">
        <v>2114.81</v>
      </c>
      <c r="Z101" s="597"/>
      <c r="AB101" s="578" t="s">
        <v>55</v>
      </c>
      <c r="AC101" s="579" t="s">
        <v>165</v>
      </c>
      <c r="AD101" s="580">
        <f t="shared" si="33"/>
        <v>2114.81</v>
      </c>
      <c r="AF101" s="580">
        <v>2170.04</v>
      </c>
      <c r="AL101" s="588"/>
    </row>
    <row r="102" spans="2:38">
      <c r="Z102" s="597"/>
      <c r="AC102" s="579"/>
    </row>
    <row r="103" spans="2:38">
      <c r="B103" s="576" t="s">
        <v>466</v>
      </c>
      <c r="Z103" s="597"/>
      <c r="AB103" s="576" t="s">
        <v>466</v>
      </c>
      <c r="AC103" s="579"/>
    </row>
    <row r="104" spans="2:38">
      <c r="B104" s="578" t="s">
        <v>182</v>
      </c>
      <c r="C104" s="579" t="s">
        <v>25</v>
      </c>
      <c r="E104" s="585">
        <v>6.7410962812169822E-3</v>
      </c>
      <c r="F104" s="585">
        <v>7.660066123328247E-3</v>
      </c>
      <c r="G104" s="585">
        <v>8.8850788833764478E-3</v>
      </c>
      <c r="H104" s="585">
        <v>1.0085384674599077E-2</v>
      </c>
      <c r="I104" s="585">
        <v>1.1201880869114857E-2</v>
      </c>
      <c r="J104" s="585">
        <v>1.3178059693885176E-2</v>
      </c>
      <c r="K104" s="585">
        <v>1.4010702225453493E-2</v>
      </c>
      <c r="L104" s="585">
        <v>1.6057530605537305E-2</v>
      </c>
      <c r="M104" s="585">
        <v>1.7695591690451387E-2</v>
      </c>
      <c r="N104" s="585">
        <v>1.8001758985583552E-2</v>
      </c>
      <c r="O104" s="585">
        <v>1.9164145782686604E-2</v>
      </c>
      <c r="P104" s="585">
        <v>1.8674518770812665E-2</v>
      </c>
      <c r="Q104" s="585">
        <v>1.9400000000000008E-2</v>
      </c>
      <c r="R104" s="585">
        <v>1.9443629168531266E-2</v>
      </c>
      <c r="S104" s="585">
        <v>1.9481965406907029E-2</v>
      </c>
      <c r="T104" s="585">
        <v>2.0989956481192163E-2</v>
      </c>
      <c r="U104" s="585">
        <v>2.1838381191414808E-2</v>
      </c>
      <c r="V104" s="585">
        <v>2.2611866660438577E-2</v>
      </c>
      <c r="W104" s="585">
        <v>2.2903192225791215E-2</v>
      </c>
      <c r="X104" s="585">
        <v>2.2188864358115398E-2</v>
      </c>
      <c r="Z104" s="597"/>
      <c r="AB104" s="578" t="s">
        <v>182</v>
      </c>
      <c r="AC104" s="579" t="s">
        <v>25</v>
      </c>
      <c r="AD104" s="585">
        <f>ROUND(LOOKUP(MID($AD$3,1,4),$E$132:$Y$132,E104:Y104),4)</f>
        <v>2.2200000000000001E-2</v>
      </c>
      <c r="AF104" s="585">
        <v>2.46E-2</v>
      </c>
      <c r="AL104" s="588"/>
    </row>
    <row r="105" spans="2:38">
      <c r="B105" s="578" t="s">
        <v>132</v>
      </c>
      <c r="Z105" s="597"/>
      <c r="AB105" s="578" t="s">
        <v>132</v>
      </c>
      <c r="AC105" s="579"/>
    </row>
    <row r="106" spans="2:38">
      <c r="B106" s="590" t="s">
        <v>459</v>
      </c>
      <c r="C106" s="579" t="s">
        <v>25</v>
      </c>
      <c r="E106" s="585">
        <v>4.6100000000000002E-2</v>
      </c>
      <c r="F106" s="585">
        <v>4.9799999999999997E-2</v>
      </c>
      <c r="G106" s="585">
        <v>5.0299999999999997E-2</v>
      </c>
      <c r="H106" s="585">
        <v>5.16E-2</v>
      </c>
      <c r="I106" s="585">
        <v>5.4199999999999998E-2</v>
      </c>
      <c r="J106" s="585">
        <v>5.4699999999999999E-2</v>
      </c>
      <c r="K106" s="585">
        <v>5.4699999999999999E-2</v>
      </c>
      <c r="L106" s="585">
        <v>5.4199999999999998E-2</v>
      </c>
      <c r="M106" s="585">
        <v>4.8300000000000003E-2</v>
      </c>
      <c r="N106" s="585">
        <v>5.0799999999999998E-2</v>
      </c>
      <c r="O106" s="585">
        <v>5.33E-2</v>
      </c>
      <c r="P106" s="585">
        <v>5.3900000000000003E-2</v>
      </c>
      <c r="Q106" s="585">
        <v>5.2386698550116947E-2</v>
      </c>
      <c r="R106" s="585">
        <v>5.8967739675954318E-2</v>
      </c>
      <c r="S106" s="585">
        <v>5.6212807418158858E-2</v>
      </c>
      <c r="T106" s="585">
        <v>6.5040465491269059E-2</v>
      </c>
      <c r="U106" s="585">
        <v>7.0074021122777011E-2</v>
      </c>
      <c r="V106" s="585">
        <v>7.5823355685855146E-2</v>
      </c>
      <c r="W106" s="585">
        <v>7.7411245421404415E-2</v>
      </c>
      <c r="X106" s="585">
        <v>7.8155851490994674E-2</v>
      </c>
      <c r="Z106" s="597"/>
      <c r="AB106" s="590" t="s">
        <v>459</v>
      </c>
      <c r="AC106" s="579" t="s">
        <v>25</v>
      </c>
      <c r="AD106" s="585">
        <f>ROUND(LOOKUP(MID($AD$3,1,4),$E$132:$Y$132,E106:Y106),4)</f>
        <v>7.8200000000000006E-2</v>
      </c>
      <c r="AF106" s="585">
        <v>6.8099999999999994E-2</v>
      </c>
      <c r="AL106" s="588"/>
    </row>
    <row r="107" spans="2:38">
      <c r="B107" s="590" t="s">
        <v>460</v>
      </c>
      <c r="C107" s="579" t="s">
        <v>25</v>
      </c>
      <c r="E107" s="585">
        <v>3.711970463680344E-2</v>
      </c>
      <c r="F107" s="585">
        <v>4.007714790715141E-2</v>
      </c>
      <c r="G107" s="585">
        <v>4.0494223240149188E-2</v>
      </c>
      <c r="H107" s="585">
        <v>4.1517953602961961E-2</v>
      </c>
      <c r="I107" s="585">
        <v>4.3603330267950886E-2</v>
      </c>
      <c r="J107" s="585">
        <v>4.4020405600948651E-2</v>
      </c>
      <c r="K107" s="585">
        <v>4.4020405600948671E-2</v>
      </c>
      <c r="L107" s="585">
        <v>4.3603330267950886E-2</v>
      </c>
      <c r="M107" s="585">
        <v>3.8825921908158E-2</v>
      </c>
      <c r="N107" s="585">
        <v>4.0797550755056658E-2</v>
      </c>
      <c r="O107" s="585">
        <v>4.2807095541318743E-2</v>
      </c>
      <c r="P107" s="585">
        <v>4.3300002753043403E-2</v>
      </c>
      <c r="Q107" s="585">
        <v>4.2114866656414209E-2</v>
      </c>
      <c r="R107" s="585">
        <v>4.740551632791179E-2</v>
      </c>
      <c r="S107" s="585">
        <v>4.5190763195997713E-2</v>
      </c>
      <c r="T107" s="585">
        <v>5.2287519680504685E-2</v>
      </c>
      <c r="U107" s="585">
        <v>5.633411032461251E-2</v>
      </c>
      <c r="V107" s="585">
        <v>6.0956132043646923E-2</v>
      </c>
      <c r="W107" s="585">
        <v>6.2232672965838655E-2</v>
      </c>
      <c r="X107" s="585">
        <v>6.2831278837181176E-2</v>
      </c>
      <c r="Z107" s="597"/>
      <c r="AB107" s="590" t="s">
        <v>460</v>
      </c>
      <c r="AC107" s="579" t="s">
        <v>25</v>
      </c>
      <c r="AD107" s="585">
        <f>ROUND(LOOKUP(MID($AD$3,1,4),$E$132:$Y$132,E107:Y107),4)</f>
        <v>6.2799999999999995E-2</v>
      </c>
      <c r="AF107" s="585">
        <v>5.4800000000000001E-2</v>
      </c>
      <c r="AL107" s="588"/>
    </row>
    <row r="108" spans="2:38">
      <c r="B108" s="590" t="s">
        <v>122</v>
      </c>
      <c r="C108" s="579" t="s">
        <v>25</v>
      </c>
      <c r="E108" s="585">
        <v>1.4847881854721377E-2</v>
      </c>
      <c r="F108" s="585">
        <v>1.6030859162860563E-2</v>
      </c>
      <c r="G108" s="585">
        <v>1.6197689296059675E-2</v>
      </c>
      <c r="H108" s="585">
        <v>1.6607181441184785E-2</v>
      </c>
      <c r="I108" s="585">
        <v>1.7441332107180355E-2</v>
      </c>
      <c r="J108" s="585">
        <v>1.760816224037946E-2</v>
      </c>
      <c r="K108" s="585">
        <v>1.760816224037947E-2</v>
      </c>
      <c r="L108" s="585">
        <v>1.7441332107180355E-2</v>
      </c>
      <c r="M108" s="585">
        <v>1.55303687632632E-2</v>
      </c>
      <c r="N108" s="585">
        <v>1.6319020302022664E-2</v>
      </c>
      <c r="O108" s="585">
        <v>1.7122838216527499E-2</v>
      </c>
      <c r="P108" s="585">
        <v>1.7320001101217362E-2</v>
      </c>
      <c r="Q108" s="585">
        <v>1.6845946662565683E-2</v>
      </c>
      <c r="R108" s="585">
        <v>1.8962206531164719E-2</v>
      </c>
      <c r="S108" s="585">
        <v>1.8076305278399086E-2</v>
      </c>
      <c r="T108" s="585">
        <v>2.0915007872201876E-2</v>
      </c>
      <c r="U108" s="585">
        <v>2.2533644129845005E-2</v>
      </c>
      <c r="V108" s="585">
        <v>2.438245281745877E-2</v>
      </c>
      <c r="W108" s="585">
        <v>2.4893069186335465E-2</v>
      </c>
      <c r="X108" s="585">
        <v>2.5132511534872472E-2</v>
      </c>
      <c r="Z108" s="597"/>
      <c r="AB108" s="590" t="s">
        <v>122</v>
      </c>
      <c r="AC108" s="579" t="s">
        <v>25</v>
      </c>
      <c r="AD108" s="585">
        <f>ROUND(LOOKUP(MID($AD$3,1,4),$E$132:$Y$132,E108:Y108),4)</f>
        <v>2.5100000000000001E-2</v>
      </c>
      <c r="AF108" s="585">
        <v>2.1899999999999999E-2</v>
      </c>
      <c r="AL108" s="588"/>
    </row>
    <row r="109" spans="2:38">
      <c r="B109" s="578" t="s">
        <v>467</v>
      </c>
      <c r="C109" s="579" t="s">
        <v>25</v>
      </c>
      <c r="E109" s="585">
        <v>1.5100925329827108E-2</v>
      </c>
      <c r="F109" s="585">
        <v>1.5337184917777464E-2</v>
      </c>
      <c r="G109" s="585">
        <v>1.5533563725943628E-2</v>
      </c>
      <c r="H109" s="585">
        <v>1.5931350249015166E-2</v>
      </c>
      <c r="I109" s="585">
        <v>1.6931570944260781E-2</v>
      </c>
      <c r="J109" s="585">
        <v>1.7320001101217352E-2</v>
      </c>
      <c r="K109" s="585">
        <v>1.7846030381006853E-2</v>
      </c>
      <c r="L109" s="585">
        <v>1.8411024792632617E-2</v>
      </c>
      <c r="M109" s="585">
        <v>1.9385153088539105E-2</v>
      </c>
      <c r="N109" s="585">
        <v>1.9696874143229182E-2</v>
      </c>
      <c r="O109" s="585">
        <v>2.0232644705977749E-2</v>
      </c>
      <c r="P109" s="585">
        <v>2.0797639117603513E-2</v>
      </c>
      <c r="Q109" s="585">
        <v>2.095349964494855E-2</v>
      </c>
      <c r="R109" s="585">
        <v>2.1469787641778992E-2</v>
      </c>
      <c r="S109" s="585">
        <v>2.1615906886164965E-2</v>
      </c>
      <c r="T109" s="585">
        <v>2.1800991262387198E-2</v>
      </c>
      <c r="U109" s="585">
        <v>2.2044523336363819E-2</v>
      </c>
      <c r="V109" s="585">
        <v>2.2151677448913533E-2</v>
      </c>
      <c r="W109" s="585">
        <v>2.3067358047065632E-2</v>
      </c>
      <c r="X109" s="585">
        <v>2.3622611175732326E-2</v>
      </c>
      <c r="Z109" s="597"/>
      <c r="AB109" s="578" t="s">
        <v>467</v>
      </c>
      <c r="AC109" s="579" t="s">
        <v>25</v>
      </c>
      <c r="AD109" s="585">
        <f>ROUND(LOOKUP(MID($AD$3,1,4),$E$132:$Y$132,E109:Y109),4)</f>
        <v>2.3599999999999999E-2</v>
      </c>
      <c r="AF109" s="585">
        <v>2.4199999999999999E-2</v>
      </c>
      <c r="AL109" s="588"/>
    </row>
    <row r="110" spans="2:38">
      <c r="B110" s="578" t="s">
        <v>468</v>
      </c>
      <c r="C110" s="579" t="s">
        <v>25</v>
      </c>
      <c r="E110" s="585">
        <v>6.0403701319308428E-3</v>
      </c>
      <c r="F110" s="585">
        <v>6.1348739671109849E-3</v>
      </c>
      <c r="G110" s="585">
        <v>6.2134254903774512E-3</v>
      </c>
      <c r="H110" s="585">
        <v>6.3725400996060668E-3</v>
      </c>
      <c r="I110" s="585">
        <v>6.7726283777043124E-3</v>
      </c>
      <c r="J110" s="585">
        <v>6.9280004404869413E-3</v>
      </c>
      <c r="K110" s="585">
        <v>7.1384121524027417E-3</v>
      </c>
      <c r="L110" s="585">
        <v>7.3644099170530469E-3</v>
      </c>
      <c r="M110" s="585">
        <v>7.7540612354156423E-3</v>
      </c>
      <c r="N110" s="585">
        <v>7.8787496572916733E-3</v>
      </c>
      <c r="O110" s="585">
        <v>8.0930578823911001E-3</v>
      </c>
      <c r="P110" s="585">
        <v>8.3190556470414054E-3</v>
      </c>
      <c r="Q110" s="585">
        <v>8.3813998579794196E-3</v>
      </c>
      <c r="R110" s="585">
        <v>8.587915056711597E-3</v>
      </c>
      <c r="S110" s="585">
        <v>8.6463627544659857E-3</v>
      </c>
      <c r="T110" s="585">
        <v>8.72039650495488E-3</v>
      </c>
      <c r="U110" s="585">
        <v>8.8178093345455278E-3</v>
      </c>
      <c r="V110" s="585">
        <v>8.8606709795654142E-3</v>
      </c>
      <c r="W110" s="585">
        <v>9.2269432188262536E-3</v>
      </c>
      <c r="X110" s="585">
        <v>9.4490444702929315E-3</v>
      </c>
      <c r="Z110" s="597"/>
      <c r="AB110" s="578" t="s">
        <v>468</v>
      </c>
      <c r="AC110" s="579" t="s">
        <v>25</v>
      </c>
      <c r="AD110" s="585">
        <f>ROUND(LOOKUP(MID($AD$3,1,4),$E$132:$Y$132,E110:Y110),4)</f>
        <v>9.4000000000000004E-3</v>
      </c>
      <c r="AF110" s="585">
        <v>9.7000000000000003E-3</v>
      </c>
      <c r="AL110" s="588"/>
    </row>
    <row r="111" spans="2:38">
      <c r="Z111" s="597"/>
      <c r="AC111" s="579"/>
    </row>
    <row r="112" spans="2:38">
      <c r="B112" s="576" t="s">
        <v>469</v>
      </c>
      <c r="Z112" s="597"/>
      <c r="AB112" s="576" t="s">
        <v>469</v>
      </c>
      <c r="AC112" s="579"/>
    </row>
    <row r="113" spans="2:38">
      <c r="Z113" s="597"/>
      <c r="AC113" s="579"/>
    </row>
    <row r="114" spans="2:38">
      <c r="B114" s="582" t="s">
        <v>470</v>
      </c>
      <c r="Z114" s="597"/>
      <c r="AB114" s="582" t="s">
        <v>470</v>
      </c>
      <c r="AC114" s="579"/>
    </row>
    <row r="115" spans="2:38">
      <c r="B115" s="590" t="s">
        <v>452</v>
      </c>
      <c r="C115" s="579" t="s">
        <v>145</v>
      </c>
      <c r="E115" s="580">
        <v>6952.2868018679646</v>
      </c>
      <c r="F115" s="580">
        <v>7314.6138375653636</v>
      </c>
      <c r="G115" s="580">
        <v>9357.7437319253786</v>
      </c>
      <c r="H115" s="580">
        <v>9837.2423669572927</v>
      </c>
      <c r="I115" s="580">
        <v>11366.151333996677</v>
      </c>
      <c r="J115" s="580">
        <v>11844.178204741118</v>
      </c>
      <c r="K115" s="580">
        <v>14405.44591612526</v>
      </c>
      <c r="L115" s="580">
        <v>14904.664850686988</v>
      </c>
      <c r="M115" s="580">
        <v>16411.73578101911</v>
      </c>
      <c r="N115" s="580">
        <v>16953.808634252437</v>
      </c>
      <c r="O115" s="580">
        <v>18084.962207903576</v>
      </c>
      <c r="P115" s="580">
        <v>18563.33585025699</v>
      </c>
      <c r="Q115" s="580">
        <v>19340.388104523892</v>
      </c>
      <c r="R115" s="580">
        <v>20968.928851640743</v>
      </c>
      <c r="S115" s="580">
        <v>20933.198187978473</v>
      </c>
      <c r="T115" s="580">
        <v>21728.517582869656</v>
      </c>
      <c r="U115" s="580">
        <v>22119.774731694295</v>
      </c>
      <c r="V115" s="580">
        <v>22856.548650746234</v>
      </c>
      <c r="W115" s="580">
        <v>23682.517706308172</v>
      </c>
      <c r="X115" s="580">
        <v>25797.044177461594</v>
      </c>
      <c r="Z115" s="597"/>
      <c r="AB115" s="590" t="s">
        <v>452</v>
      </c>
      <c r="AC115" s="579" t="s">
        <v>145</v>
      </c>
      <c r="AD115" s="580">
        <f>ROUND(LOOKUP(MID($AD$3,1,4),$E$132:$Y$132,E115:Y115),2)</f>
        <v>25797.040000000001</v>
      </c>
      <c r="AF115" s="580">
        <v>26880.79</v>
      </c>
      <c r="AL115" s="588"/>
    </row>
    <row r="116" spans="2:38">
      <c r="B116" s="590" t="s">
        <v>453</v>
      </c>
      <c r="C116" s="579" t="s">
        <v>145</v>
      </c>
      <c r="E116" s="580">
        <v>7640.2563682333002</v>
      </c>
      <c r="F116" s="580">
        <v>8038.4377897946715</v>
      </c>
      <c r="G116" s="580">
        <v>10283.747373731539</v>
      </c>
      <c r="H116" s="580">
        <v>10810.69521179792</v>
      </c>
      <c r="I116" s="580">
        <v>12490.898690850754</v>
      </c>
      <c r="J116" s="580">
        <v>13016.229124918946</v>
      </c>
      <c r="K116" s="580">
        <v>15830.949302658913</v>
      </c>
      <c r="L116" s="580">
        <v>16379.568879587627</v>
      </c>
      <c r="M116" s="580">
        <v>18035.773320082739</v>
      </c>
      <c r="N116" s="580">
        <v>18631.487462348785</v>
      </c>
      <c r="O116" s="580">
        <v>19874.575318306615</v>
      </c>
      <c r="P116" s="580">
        <v>20400.286839068907</v>
      </c>
      <c r="Q116" s="580">
        <v>21254.232972665926</v>
      </c>
      <c r="R116" s="580">
        <v>23043.927380949521</v>
      </c>
      <c r="S116" s="580">
        <v>23004.660958495038</v>
      </c>
      <c r="T116" s="580">
        <v>23878.681873449837</v>
      </c>
      <c r="U116" s="580">
        <v>24308.656212558097</v>
      </c>
      <c r="V116" s="580">
        <v>25118.338233367755</v>
      </c>
      <c r="W116" s="580">
        <v>26026.041772730543</v>
      </c>
      <c r="X116" s="580">
        <v>28349.813043600308</v>
      </c>
      <c r="Z116" s="597"/>
      <c r="AB116" s="590" t="s">
        <v>453</v>
      </c>
      <c r="AC116" s="579" t="s">
        <v>145</v>
      </c>
      <c r="AD116" s="580">
        <f>ROUND(LOOKUP(MID($AD$3,1,4),$E$132:$Y$132,E116:Y116),2)</f>
        <v>28349.81</v>
      </c>
      <c r="AF116" s="580">
        <v>29540.799999999999</v>
      </c>
      <c r="AL116" s="588"/>
    </row>
    <row r="117" spans="2:38">
      <c r="B117" s="590" t="s">
        <v>454</v>
      </c>
      <c r="C117" s="579" t="s">
        <v>145</v>
      </c>
      <c r="E117" s="580">
        <v>4146.2958893377117</v>
      </c>
      <c r="F117" s="580">
        <v>4362.3852339695231</v>
      </c>
      <c r="G117" s="580">
        <v>5580.8938087440547</v>
      </c>
      <c r="H117" s="580">
        <v>5866.8634869284597</v>
      </c>
      <c r="I117" s="580">
        <v>6778.6942479240643</v>
      </c>
      <c r="J117" s="580">
        <v>7063.7861760401638</v>
      </c>
      <c r="K117" s="580">
        <v>8591.3085705927188</v>
      </c>
      <c r="L117" s="580">
        <v>8889.0392993792084</v>
      </c>
      <c r="M117" s="580">
        <v>9787.8460059289882</v>
      </c>
      <c r="N117" s="580">
        <v>10111.134516189959</v>
      </c>
      <c r="O117" s="580">
        <v>10785.746704424084</v>
      </c>
      <c r="P117" s="580">
        <v>11071.045444735622</v>
      </c>
      <c r="Q117" s="580">
        <v>11534.474048803249</v>
      </c>
      <c r="R117" s="580">
        <v>12505.724516142327</v>
      </c>
      <c r="S117" s="580">
        <v>12484.414994816714</v>
      </c>
      <c r="T117" s="580">
        <v>12958.737995539563</v>
      </c>
      <c r="U117" s="580">
        <v>13192.081060070463</v>
      </c>
      <c r="V117" s="580">
        <v>13631.487942869873</v>
      </c>
      <c r="W117" s="580">
        <v>14124.090189784723</v>
      </c>
      <c r="X117" s="580">
        <v>15385.179190440384</v>
      </c>
      <c r="Z117" s="597"/>
      <c r="AB117" s="590" t="s">
        <v>454</v>
      </c>
      <c r="AC117" s="579" t="s">
        <v>145</v>
      </c>
      <c r="AD117" s="580">
        <f>ROUND(LOOKUP(MID($AD$3,1,4),$E$132:$Y$132,E117:Y117),2)</f>
        <v>15385.18</v>
      </c>
      <c r="AF117" s="580">
        <v>16031.52</v>
      </c>
      <c r="AL117" s="588"/>
    </row>
    <row r="118" spans="2:38">
      <c r="B118" s="590" t="s">
        <v>455</v>
      </c>
      <c r="C118" s="579" t="s">
        <v>145</v>
      </c>
      <c r="E118" s="580">
        <v>4276.1723960994314</v>
      </c>
      <c r="F118" s="580">
        <v>4499.0304157072324</v>
      </c>
      <c r="G118" s="580">
        <v>5755.7069460195917</v>
      </c>
      <c r="H118" s="580">
        <v>6050.6341959339525</v>
      </c>
      <c r="I118" s="580">
        <v>6991.0266894148153</v>
      </c>
      <c r="J118" s="580">
        <v>7285.0486950550239</v>
      </c>
      <c r="K118" s="580">
        <v>8860.4184400860977</v>
      </c>
      <c r="L118" s="580">
        <v>9167.475137892272</v>
      </c>
      <c r="M118" s="580">
        <v>10094.435617934405</v>
      </c>
      <c r="N118" s="580">
        <v>10427.850656429135</v>
      </c>
      <c r="O118" s="580">
        <v>11123.594060757132</v>
      </c>
      <c r="P118" s="580">
        <v>11417.829356674956</v>
      </c>
      <c r="Q118" s="580">
        <v>11895.774167457241</v>
      </c>
      <c r="R118" s="580">
        <v>12897.447600560306</v>
      </c>
      <c r="S118" s="580">
        <v>12875.47059040505</v>
      </c>
      <c r="T118" s="580">
        <v>13364.651048495818</v>
      </c>
      <c r="U118" s="580">
        <v>13605.303234929059</v>
      </c>
      <c r="V118" s="580">
        <v>14058.473880013693</v>
      </c>
      <c r="W118" s="580">
        <v>14566.5061542975</v>
      </c>
      <c r="X118" s="580">
        <v>15867.09687853781</v>
      </c>
      <c r="Z118" s="597"/>
      <c r="AB118" s="590" t="s">
        <v>455</v>
      </c>
      <c r="AC118" s="579" t="s">
        <v>145</v>
      </c>
      <c r="AD118" s="580">
        <f>ROUND(LOOKUP(MID($AD$3,1,4),$E$132:$Y$132,E118:Y118),2)</f>
        <v>15867.1</v>
      </c>
      <c r="AF118" s="580">
        <v>16533.68</v>
      </c>
      <c r="AL118" s="588"/>
    </row>
    <row r="119" spans="2:38">
      <c r="Z119" s="597"/>
      <c r="AC119" s="579"/>
    </row>
    <row r="120" spans="2:38">
      <c r="B120" s="582" t="s">
        <v>471</v>
      </c>
      <c r="Z120" s="597"/>
      <c r="AB120" s="582" t="s">
        <v>471</v>
      </c>
      <c r="AC120" s="579"/>
    </row>
    <row r="121" spans="2:38">
      <c r="B121" s="590" t="s">
        <v>452</v>
      </c>
      <c r="C121" s="579" t="s">
        <v>145</v>
      </c>
      <c r="E121" s="580">
        <v>0</v>
      </c>
      <c r="F121" s="580">
        <v>0</v>
      </c>
      <c r="G121" s="580">
        <v>0</v>
      </c>
      <c r="H121" s="580">
        <v>0</v>
      </c>
      <c r="I121" s="580">
        <v>0</v>
      </c>
      <c r="J121" s="580">
        <v>0</v>
      </c>
      <c r="K121" s="580">
        <v>0</v>
      </c>
      <c r="L121" s="580">
        <v>0</v>
      </c>
      <c r="M121" s="580">
        <v>0</v>
      </c>
      <c r="N121" s="580">
        <v>0</v>
      </c>
      <c r="O121" s="580">
        <v>0</v>
      </c>
      <c r="P121" s="580">
        <v>0</v>
      </c>
      <c r="Q121" s="580">
        <v>0</v>
      </c>
      <c r="R121" s="580">
        <v>0</v>
      </c>
      <c r="S121" s="580">
        <v>0</v>
      </c>
      <c r="T121" s="580">
        <v>0</v>
      </c>
      <c r="U121" s="580">
        <v>0</v>
      </c>
      <c r="V121" s="580">
        <v>0</v>
      </c>
      <c r="W121" s="580">
        <v>0</v>
      </c>
      <c r="X121" s="580">
        <v>0</v>
      </c>
      <c r="Z121" s="597"/>
      <c r="AB121" s="590" t="s">
        <v>452</v>
      </c>
      <c r="AC121" s="579" t="s">
        <v>145</v>
      </c>
      <c r="AD121" s="580">
        <f>ROUND(LOOKUP(MID($AD$3,1,4),$E$132:$Y$132,E121:Y121),2)</f>
        <v>0</v>
      </c>
      <c r="AF121" s="580">
        <v>0</v>
      </c>
      <c r="AL121" s="588"/>
    </row>
    <row r="122" spans="2:38">
      <c r="B122" s="590" t="s">
        <v>453</v>
      </c>
      <c r="C122" s="579" t="s">
        <v>145</v>
      </c>
      <c r="E122" s="580">
        <v>5014.2941435212551</v>
      </c>
      <c r="F122" s="580">
        <v>5655.3127970936057</v>
      </c>
      <c r="G122" s="580">
        <v>7042.0572657111725</v>
      </c>
      <c r="H122" s="580">
        <v>8427.9201470924017</v>
      </c>
      <c r="I122" s="580">
        <v>8877.4589978157037</v>
      </c>
      <c r="J122" s="580">
        <v>8837.2220035055143</v>
      </c>
      <c r="K122" s="580">
        <v>9859.2857888360959</v>
      </c>
      <c r="L122" s="580">
        <v>10203.793605905157</v>
      </c>
      <c r="M122" s="580">
        <v>10840.691370407736</v>
      </c>
      <c r="N122" s="580">
        <v>10029.928642570156</v>
      </c>
      <c r="O122" s="580">
        <v>9755.1697038458824</v>
      </c>
      <c r="P122" s="580">
        <v>10048.046740620273</v>
      </c>
      <c r="Q122" s="580">
        <v>9938.510275928802</v>
      </c>
      <c r="R122" s="580">
        <v>10694.138988924964</v>
      </c>
      <c r="S122" s="580">
        <v>9579.2555663014118</v>
      </c>
      <c r="T122" s="580">
        <v>9229.2848261178042</v>
      </c>
      <c r="U122" s="580">
        <v>9045.3649696817829</v>
      </c>
      <c r="V122" s="580">
        <v>10103.574895117663</v>
      </c>
      <c r="W122" s="580">
        <v>10261.584669355636</v>
      </c>
      <c r="X122" s="580">
        <v>9312.7499013541274</v>
      </c>
      <c r="Z122" s="597"/>
      <c r="AB122" s="590" t="s">
        <v>453</v>
      </c>
      <c r="AC122" s="579" t="s">
        <v>145</v>
      </c>
      <c r="AD122" s="580">
        <f>ROUND(LOOKUP(MID($AD$3,1,4),$E$132:$Y$132,E122:Y122),2)</f>
        <v>9312.75</v>
      </c>
      <c r="AF122" s="580">
        <v>9226.6299999999992</v>
      </c>
      <c r="AL122" s="588"/>
    </row>
    <row r="123" spans="2:38">
      <c r="B123" s="590" t="s">
        <v>454</v>
      </c>
      <c r="C123" s="579" t="s">
        <v>145</v>
      </c>
      <c r="E123" s="580">
        <v>3828.9169576526665</v>
      </c>
      <c r="F123" s="580">
        <v>4318.39905076164</v>
      </c>
      <c r="G123" s="580">
        <v>5377.3176661925472</v>
      </c>
      <c r="H123" s="580">
        <v>6435.5631012670083</v>
      </c>
      <c r="I123" s="580">
        <v>6778.8311424691947</v>
      </c>
      <c r="J123" s="580">
        <v>6748.1061579689704</v>
      </c>
      <c r="K123" s="580">
        <v>7528.5544618466483</v>
      </c>
      <c r="L123" s="580">
        <v>7791.6207649122498</v>
      </c>
      <c r="M123" s="580">
        <v>8277.9561455252606</v>
      </c>
      <c r="N123" s="580">
        <v>7658.8574113073992</v>
      </c>
      <c r="O123" s="580">
        <v>7449.0513788656654</v>
      </c>
      <c r="P123" s="580">
        <v>7672.6923980231559</v>
      </c>
      <c r="Q123" s="580">
        <v>7589.0503109947367</v>
      </c>
      <c r="R123" s="580">
        <v>8166.0486900424612</v>
      </c>
      <c r="S123" s="580">
        <v>7314.7232750377034</v>
      </c>
      <c r="T123" s="580">
        <v>7047.4854817577398</v>
      </c>
      <c r="U123" s="580">
        <v>6907.0442078714023</v>
      </c>
      <c r="V123" s="580">
        <v>7715.0937183878432</v>
      </c>
      <c r="W123" s="580">
        <v>7835.7500434333824</v>
      </c>
      <c r="X123" s="580">
        <v>7111.2194456611205</v>
      </c>
      <c r="Z123" s="597"/>
      <c r="AB123" s="590" t="s">
        <v>454</v>
      </c>
      <c r="AC123" s="579" t="s">
        <v>145</v>
      </c>
      <c r="AD123" s="580">
        <f>ROUND(LOOKUP(MID($AD$3,1,4),$E$132:$Y$132,E123:Y123),2)</f>
        <v>7111.22</v>
      </c>
      <c r="AF123" s="580">
        <v>7045.46</v>
      </c>
      <c r="AL123" s="588"/>
    </row>
    <row r="124" spans="2:38">
      <c r="B124" s="590" t="s">
        <v>455</v>
      </c>
      <c r="C124" s="579" t="s">
        <v>145</v>
      </c>
      <c r="E124" s="580">
        <v>2533.70910327514</v>
      </c>
      <c r="F124" s="580">
        <v>2857.6140740323772</v>
      </c>
      <c r="G124" s="580">
        <v>3558.3322575861976</v>
      </c>
      <c r="H124" s="580">
        <v>4258.6049775229858</v>
      </c>
      <c r="I124" s="580">
        <v>4485.7557281077161</v>
      </c>
      <c r="J124" s="580">
        <v>4465.4240850380966</v>
      </c>
      <c r="K124" s="580">
        <v>4981.8701176997156</v>
      </c>
      <c r="L124" s="580">
        <v>5155.9489745185047</v>
      </c>
      <c r="M124" s="580">
        <v>5477.77167131039</v>
      </c>
      <c r="N124" s="580">
        <v>5068.0954845289571</v>
      </c>
      <c r="O124" s="580">
        <v>4929.2605449888861</v>
      </c>
      <c r="P124" s="580">
        <v>5077.2505098724405</v>
      </c>
      <c r="Q124" s="580">
        <v>5021.9020341377363</v>
      </c>
      <c r="R124" s="580">
        <v>5403.7191541581378</v>
      </c>
      <c r="S124" s="580">
        <v>4840.3716128812421</v>
      </c>
      <c r="T124" s="580">
        <v>4663.5323559683147</v>
      </c>
      <c r="U124" s="580">
        <v>4570.5981560217278</v>
      </c>
      <c r="V124" s="580">
        <v>5105.3087343226143</v>
      </c>
      <c r="W124" s="580">
        <v>5185.1506406675935</v>
      </c>
      <c r="X124" s="580">
        <v>4705.7070299860043</v>
      </c>
      <c r="Z124" s="597"/>
      <c r="AB124" s="590" t="s">
        <v>455</v>
      </c>
      <c r="AC124" s="579" t="s">
        <v>145</v>
      </c>
      <c r="AD124" s="580">
        <f>ROUND(LOOKUP(MID($AD$3,1,4),$E$132:$Y$132,E124:Y124),2)</f>
        <v>4705.71</v>
      </c>
      <c r="AF124" s="580">
        <v>4662.1899999999996</v>
      </c>
      <c r="AL124" s="588"/>
    </row>
    <row r="125" spans="2:38">
      <c r="Z125" s="597"/>
      <c r="AC125" s="579"/>
    </row>
    <row r="126" spans="2:38">
      <c r="B126" s="582" t="s">
        <v>472</v>
      </c>
      <c r="Z126" s="597"/>
      <c r="AB126" s="582" t="s">
        <v>472</v>
      </c>
      <c r="AC126" s="579"/>
    </row>
    <row r="127" spans="2:38">
      <c r="B127" s="590" t="s">
        <v>452</v>
      </c>
      <c r="C127" s="579" t="s">
        <v>145</v>
      </c>
      <c r="E127" s="580">
        <v>4394.9461932846352</v>
      </c>
      <c r="F127" s="580">
        <v>4910.7858879211399</v>
      </c>
      <c r="G127" s="580">
        <v>6903.2569897996627</v>
      </c>
      <c r="H127" s="580">
        <v>7855.7458225873597</v>
      </c>
      <c r="I127" s="580">
        <v>9548.1034824923427</v>
      </c>
      <c r="J127" s="580">
        <v>9828.121535569142</v>
      </c>
      <c r="K127" s="580">
        <v>15735.038738958623</v>
      </c>
      <c r="L127" s="580">
        <v>16386.244906576852</v>
      </c>
      <c r="M127" s="580">
        <v>18212.231588768853</v>
      </c>
      <c r="N127" s="580">
        <v>15012.492153044195</v>
      </c>
      <c r="O127" s="580">
        <v>16075.693540610378</v>
      </c>
      <c r="P127" s="580">
        <v>18407.515191647155</v>
      </c>
      <c r="Q127" s="580">
        <v>19351.521602443507</v>
      </c>
      <c r="R127" s="580">
        <v>21746.217123442257</v>
      </c>
      <c r="S127" s="580">
        <v>23162.393288580035</v>
      </c>
      <c r="T127" s="580">
        <v>23155.80057055522</v>
      </c>
      <c r="U127" s="580">
        <v>23203.549012102798</v>
      </c>
      <c r="V127" s="580">
        <v>21696.644278132357</v>
      </c>
      <c r="W127" s="580">
        <v>22159.310264548076</v>
      </c>
      <c r="X127" s="580">
        <v>24731.568547966592</v>
      </c>
      <c r="Z127" s="597"/>
      <c r="AB127" s="590" t="s">
        <v>452</v>
      </c>
      <c r="AC127" s="579" t="s">
        <v>145</v>
      </c>
      <c r="AD127" s="580">
        <f>ROUND(LOOKUP(MID($AD$3,1,4),$E$132:$Y$132,E127:Y127),2)</f>
        <v>24731.57</v>
      </c>
      <c r="AF127" s="580">
        <v>25613.63</v>
      </c>
      <c r="AL127" s="588"/>
    </row>
    <row r="128" spans="2:38">
      <c r="B128" s="590" t="s">
        <v>453</v>
      </c>
      <c r="C128" s="579" t="s">
        <v>145</v>
      </c>
      <c r="E128" s="580">
        <v>3752.5927395541171</v>
      </c>
      <c r="F128" s="580">
        <v>4193.0386990119405</v>
      </c>
      <c r="G128" s="580">
        <v>5894.2956113503205</v>
      </c>
      <c r="H128" s="580">
        <v>6707.5712514223032</v>
      </c>
      <c r="I128" s="580">
        <v>8152.5784910995453</v>
      </c>
      <c r="J128" s="580">
        <v>8391.669862576553</v>
      </c>
      <c r="K128" s="580">
        <v>13435.248017061389</v>
      </c>
      <c r="L128" s="580">
        <v>13991.275651777591</v>
      </c>
      <c r="M128" s="580">
        <v>15550.381057114788</v>
      </c>
      <c r="N128" s="580">
        <v>12818.306886716022</v>
      </c>
      <c r="O128" s="580">
        <v>13726.11363387506</v>
      </c>
      <c r="P128" s="580">
        <v>15717.122536551968</v>
      </c>
      <c r="Q128" s="580">
        <v>16523.155522498357</v>
      </c>
      <c r="R128" s="580">
        <v>18567.848820285148</v>
      </c>
      <c r="S128" s="580">
        <v>19777.040505804707</v>
      </c>
      <c r="T128" s="580">
        <v>19771.411361622773</v>
      </c>
      <c r="U128" s="580">
        <v>19812.181020043219</v>
      </c>
      <c r="V128" s="580">
        <v>18525.521408023942</v>
      </c>
      <c r="W128" s="580">
        <v>18920.565384697678</v>
      </c>
      <c r="X128" s="580">
        <v>21116.869351595666</v>
      </c>
      <c r="Z128" s="597"/>
      <c r="AB128" s="590" t="s">
        <v>453</v>
      </c>
      <c r="AC128" s="579" t="s">
        <v>145</v>
      </c>
      <c r="AD128" s="580">
        <f>ROUND(LOOKUP(MID($AD$3,1,4),$E$132:$Y$132,E128:Y128),2)</f>
        <v>21116.87</v>
      </c>
      <c r="AF128" s="580">
        <v>21870.01</v>
      </c>
      <c r="AL128" s="588"/>
    </row>
    <row r="129" spans="2:38">
      <c r="B129" s="590" t="s">
        <v>454</v>
      </c>
      <c r="C129" s="579" t="s">
        <v>145</v>
      </c>
      <c r="E129" s="580">
        <v>3546.6947317178592</v>
      </c>
      <c r="F129" s="580">
        <v>3962.974214313962</v>
      </c>
      <c r="G129" s="580">
        <v>5570.8862226407873</v>
      </c>
      <c r="H129" s="580">
        <v>6339.5388924800682</v>
      </c>
      <c r="I129" s="580">
        <v>7705.2611863590446</v>
      </c>
      <c r="J129" s="580">
        <v>7931.2340447186916</v>
      </c>
      <c r="K129" s="580">
        <v>12698.080145807749</v>
      </c>
      <c r="L129" s="580">
        <v>13223.599545222196</v>
      </c>
      <c r="M129" s="580">
        <v>14697.159643822</v>
      </c>
      <c r="N129" s="580">
        <v>12114.989464606899</v>
      </c>
      <c r="O129" s="580">
        <v>12972.986489871477</v>
      </c>
      <c r="P129" s="580">
        <v>14854.752318466719</v>
      </c>
      <c r="Q129" s="580">
        <v>15616.559725573345</v>
      </c>
      <c r="R129" s="580">
        <v>17549.064383166671</v>
      </c>
      <c r="S129" s="580">
        <v>18691.909897806458</v>
      </c>
      <c r="T129" s="580">
        <v>18686.589614631652</v>
      </c>
      <c r="U129" s="580">
        <v>18725.122315292079</v>
      </c>
      <c r="V129" s="580">
        <v>17509.059399814305</v>
      </c>
      <c r="W129" s="580">
        <v>17882.428024684614</v>
      </c>
      <c r="X129" s="580">
        <v>19958.224746919303</v>
      </c>
      <c r="Z129" s="597"/>
      <c r="AB129" s="590" t="s">
        <v>454</v>
      </c>
      <c r="AC129" s="579" t="s">
        <v>145</v>
      </c>
      <c r="AD129" s="580">
        <f>ROUND(LOOKUP(MID($AD$3,1,4),$E$132:$Y$132,E129:Y129),2)</f>
        <v>19958.22</v>
      </c>
      <c r="AF129" s="580">
        <v>20670.04</v>
      </c>
      <c r="AL129" s="588"/>
    </row>
    <row r="130" spans="2:38">
      <c r="B130" s="590" t="s">
        <v>455</v>
      </c>
      <c r="C130" s="579" t="s">
        <v>145</v>
      </c>
      <c r="E130" s="580">
        <v>1815.0949242769061</v>
      </c>
      <c r="F130" s="580">
        <v>2028.1346226709177</v>
      </c>
      <c r="G130" s="580">
        <v>2851.0170937496482</v>
      </c>
      <c r="H130" s="580">
        <v>3244.3911124043098</v>
      </c>
      <c r="I130" s="580">
        <v>3943.3279510960538</v>
      </c>
      <c r="J130" s="580">
        <v>4058.9742695020013</v>
      </c>
      <c r="K130" s="580">
        <v>6498.5070788862295</v>
      </c>
      <c r="L130" s="580">
        <v>6767.4525807237114</v>
      </c>
      <c r="M130" s="580">
        <v>7521.5776627800415</v>
      </c>
      <c r="N130" s="580">
        <v>6200.0982740979471</v>
      </c>
      <c r="O130" s="580">
        <v>6639.1961281295271</v>
      </c>
      <c r="P130" s="580">
        <v>7602.2289974699897</v>
      </c>
      <c r="Q130" s="580">
        <v>7992.0998103002903</v>
      </c>
      <c r="R130" s="580">
        <v>8981.0993325231029</v>
      </c>
      <c r="S130" s="580">
        <v>9565.9743358055457</v>
      </c>
      <c r="T130" s="580">
        <v>9563.2515700428357</v>
      </c>
      <c r="U130" s="580">
        <v>9582.971482433928</v>
      </c>
      <c r="V130" s="580">
        <v>8960.6259487894276</v>
      </c>
      <c r="W130" s="580">
        <v>9151.7051216953223</v>
      </c>
      <c r="X130" s="580">
        <v>10214.037343485916</v>
      </c>
      <c r="Z130" s="597"/>
      <c r="AB130" s="590" t="s">
        <v>455</v>
      </c>
      <c r="AC130" s="579" t="s">
        <v>145</v>
      </c>
      <c r="AD130" s="580">
        <f>ROUND(LOOKUP(MID($AD$3,1,4),$E$132:$Y$132,E130:Y130),2)</f>
        <v>10214.040000000001</v>
      </c>
      <c r="AF130" s="580">
        <v>10578.33</v>
      </c>
      <c r="AL130" s="588"/>
    </row>
    <row r="131" spans="2:38" ht="12.75" thickBot="1">
      <c r="Z131" s="597"/>
    </row>
    <row r="132" spans="2:38" ht="15.95" customHeight="1" thickTop="1" thickBot="1">
      <c r="B132" s="576"/>
      <c r="C132" s="577"/>
      <c r="E132" s="577" t="str">
        <f>MID(E5,1,4)</f>
        <v>2006</v>
      </c>
      <c r="F132" s="577" t="str">
        <f t="shared" ref="F132:X132" si="34">MID(F5,1,4)</f>
        <v>2007</v>
      </c>
      <c r="G132" s="577" t="str">
        <f t="shared" si="34"/>
        <v>2008</v>
      </c>
      <c r="H132" s="577" t="str">
        <f t="shared" si="34"/>
        <v>2009</v>
      </c>
      <c r="I132" s="577" t="str">
        <f t="shared" si="34"/>
        <v>2010</v>
      </c>
      <c r="J132" s="577" t="str">
        <f t="shared" si="34"/>
        <v>2011</v>
      </c>
      <c r="K132" s="577" t="str">
        <f t="shared" si="34"/>
        <v>2012</v>
      </c>
      <c r="L132" s="577" t="str">
        <f t="shared" si="34"/>
        <v>2013</v>
      </c>
      <c r="M132" s="577" t="str">
        <f t="shared" si="34"/>
        <v>2014</v>
      </c>
      <c r="N132" s="577" t="str">
        <f t="shared" si="34"/>
        <v>2015</v>
      </c>
      <c r="O132" s="577" t="str">
        <f t="shared" si="34"/>
        <v>2016</v>
      </c>
      <c r="P132" s="577" t="str">
        <f t="shared" si="34"/>
        <v>2017</v>
      </c>
      <c r="Q132" s="577" t="str">
        <f t="shared" si="34"/>
        <v>2018</v>
      </c>
      <c r="R132" s="577" t="str">
        <f t="shared" si="34"/>
        <v>2019</v>
      </c>
      <c r="S132" s="577" t="str">
        <f t="shared" si="34"/>
        <v>2020</v>
      </c>
      <c r="T132" s="577" t="str">
        <f t="shared" si="34"/>
        <v>2021</v>
      </c>
      <c r="U132" s="577" t="str">
        <f t="shared" si="34"/>
        <v>2022</v>
      </c>
      <c r="V132" s="577" t="str">
        <f t="shared" si="34"/>
        <v>2023</v>
      </c>
      <c r="W132" s="577" t="str">
        <f t="shared" si="34"/>
        <v>2024</v>
      </c>
      <c r="X132" s="577" t="str">
        <f t="shared" si="34"/>
        <v>2025</v>
      </c>
      <c r="Z132" s="599"/>
      <c r="AB132" s="576"/>
      <c r="AC132" s="576"/>
      <c r="AD132" s="577"/>
      <c r="AF132" s="577"/>
    </row>
    <row r="133" spans="2:38" ht="12.75" thickTop="1"/>
    <row r="134" spans="2:38">
      <c r="AD134" s="601"/>
    </row>
    <row r="135" spans="2:38">
      <c r="G135" s="600"/>
      <c r="H135" s="600"/>
    </row>
    <row r="136" spans="2:38">
      <c r="E136" s="600"/>
      <c r="F136" s="600"/>
      <c r="G136" s="600"/>
      <c r="H136" s="600"/>
      <c r="I136" s="600"/>
      <c r="J136" s="600"/>
      <c r="K136" s="600"/>
    </row>
    <row r="137" spans="2:38">
      <c r="E137" s="600"/>
      <c r="F137" s="600"/>
      <c r="G137" s="600"/>
      <c r="H137" s="600"/>
      <c r="I137" s="600"/>
      <c r="J137" s="600"/>
      <c r="K137" s="600"/>
    </row>
  </sheetData>
  <sheetProtection algorithmName="SHA-512" hashValue="zROCtRqWSRo9nTSbgmSv6v50vSXYPv4Lqajw9S9cOYD/dlahs1XUwL9IW4t8QgmGW8PDGhxCaOUogek9q4iemA==" saltValue="oKjTY2d7ObRVmDyGDsrIZw==" spinCount="100000" sheet="1" objects="1" scenarios="1"/>
  <conditionalFormatting sqref="AB1">
    <cfRule type="cellIs" dxfId="22" priority="5" operator="equal">
      <formula>"SIMULANDO"</formula>
    </cfRule>
  </conditionalFormatting>
  <conditionalFormatting sqref="AF3">
    <cfRule type="cellIs" dxfId="21" priority="1" operator="equal">
      <formula>"estándar"</formula>
    </cfRule>
  </conditionalFormatting>
  <conditionalFormatting sqref="AF5">
    <cfRule type="cellIs" dxfId="20" priority="3" operator="equal">
      <formula>"estándar"</formula>
    </cfRule>
  </conditionalFormatting>
  <dataValidations count="4">
    <dataValidation type="whole" allowBlank="1" showInputMessage="1" showErrorMessage="1" error="Puede digitar:_x000a_1.- Precios Estándar_x000a_2.- Precios Personalizados" sqref="Z1" xr:uid="{14846941-0F96-428B-A9DD-1CE69D9A2B2B}">
      <formula1>1</formula1>
      <formula2>2</formula2>
    </dataValidation>
    <dataValidation type="whole" allowBlank="1" showInputMessage="1" showErrorMessage="1" error="Debe digitar el año comienzo de la cosecha, por ejemplo 2006 para la cosecha 2006-2007._x000a__x000a_Solo acepta datos entre 2006 y 2025" sqref="AD3" xr:uid="{85AEA0DA-E3C2-49A0-9A1C-DC830699FDC3}">
      <formula1>2006</formula1>
      <formula2>2025</formula2>
    </dataValidation>
    <dataValidation type="decimal" operator="greaterThanOrEqual" allowBlank="1" showInputMessage="1" showErrorMessage="1" error="Debe digitar un número, permite incluir decimales." sqref="AF29 AF32:AF34 AF72 AF7" xr:uid="{5446734E-9120-420E-B2B6-E9E1F0D2B1ED}">
      <formula1>0</formula1>
    </dataValidation>
    <dataValidation type="decimal" operator="greaterThanOrEqual" allowBlank="1" showInputMessage="1" showErrorMessage="1" error="Debe digitar un porcentaje." sqref="AF8" xr:uid="{9760CFDA-D5CE-4FF4-9974-C4ECED9805F7}">
      <formula1>0</formula1>
    </dataValidation>
  </dataValidations>
  <hyperlinks>
    <hyperlink ref="AH7" r:id="rId1" xr:uid="{F0001F43-46DA-45AE-B91F-935D72B0D884}"/>
    <hyperlink ref="AH8" r:id="rId2" xr:uid="{F121A9D7-0B7F-4118-8EA7-485F8DB77AE5}"/>
  </hyperlinks>
  <pageMargins left="0.7" right="0.7" top="0.75" bottom="0.75" header="0.3" footer="0.3"/>
  <pageSetup paperSize="9" orientation="portrait" r:id="rId3"/>
  <ignoredErrors>
    <ignoredError sqref="E19:Q19 E23:Q23 R23:X23" formulaRange="1"/>
    <ignoredError sqref="AD14 AD19 AD23" formula="1"/>
  </ignoredErrors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2ED68-CA69-44AE-9BAC-42ED601BF8A5}">
  <sheetPr>
    <tabColor theme="0"/>
  </sheetPr>
  <dimension ref="A1:AC37"/>
  <sheetViews>
    <sheetView showGridLines="0" zoomScaleNormal="100" workbookViewId="0">
      <pane ySplit="2" topLeftCell="A3" activePane="bottomLeft" state="frozen"/>
      <selection pane="bottomLeft" activeCell="G11" sqref="G11"/>
    </sheetView>
  </sheetViews>
  <sheetFormatPr baseColWidth="10" defaultColWidth="10.85546875" defaultRowHeight="20.100000000000001" customHeight="1"/>
  <cols>
    <col min="1" max="1" width="2.140625" style="316" customWidth="1"/>
    <col min="2" max="2" width="16.7109375" style="316" customWidth="1"/>
    <col min="3" max="3" width="10.85546875" style="316"/>
    <col min="4" max="4" width="14" style="316" customWidth="1"/>
    <col min="5" max="6" width="3.140625" style="316" customWidth="1"/>
    <col min="7" max="7" width="9.5703125" style="316" customWidth="1"/>
    <col min="8" max="8" width="22.5703125" style="316" customWidth="1"/>
    <col min="9" max="10" width="3.140625" style="316" customWidth="1"/>
    <col min="11" max="11" width="7" style="316" customWidth="1"/>
    <col min="12" max="12" width="22.7109375" style="316" customWidth="1"/>
    <col min="13" max="13" width="13.5703125" style="316" bestFit="1" customWidth="1"/>
    <col min="14" max="16" width="15" style="316" customWidth="1"/>
    <col min="17" max="17" width="11.7109375" style="316" bestFit="1" customWidth="1"/>
    <col min="18" max="19" width="3.140625" style="316" customWidth="1"/>
    <col min="20" max="20" width="7" style="316" customWidth="1"/>
    <col min="21" max="21" width="22.7109375" style="316" customWidth="1"/>
    <col min="22" max="22" width="13.5703125" style="316" bestFit="1" customWidth="1"/>
    <col min="23" max="25" width="15" style="316" customWidth="1"/>
    <col min="26" max="26" width="11.7109375" style="316" bestFit="1" customWidth="1"/>
    <col min="27" max="27" width="3.140625" style="316" customWidth="1"/>
    <col min="28" max="28" width="6" style="316" bestFit="1" customWidth="1"/>
    <col min="29" max="16384" width="10.85546875" style="316"/>
  </cols>
  <sheetData>
    <row r="1" spans="1:28" ht="20.100000000000001" customHeight="1" thickBot="1">
      <c r="A1" s="313"/>
      <c r="B1" s="314"/>
      <c r="C1" s="314"/>
      <c r="D1" s="314"/>
      <c r="E1" s="315"/>
      <c r="F1" s="313"/>
      <c r="G1" s="314"/>
      <c r="H1" s="314"/>
      <c r="I1" s="315"/>
      <c r="J1" s="313"/>
      <c r="K1" s="314"/>
      <c r="L1" s="314"/>
      <c r="M1" s="314"/>
      <c r="N1" s="314"/>
      <c r="O1" s="314"/>
      <c r="P1" s="314"/>
      <c r="Q1" s="314"/>
      <c r="R1" s="315"/>
      <c r="S1" s="313"/>
      <c r="T1" s="314"/>
      <c r="U1" s="314"/>
      <c r="V1" s="314"/>
      <c r="W1" s="314"/>
      <c r="X1" s="314"/>
      <c r="Y1" s="314"/>
      <c r="Z1" s="314"/>
      <c r="AA1" s="315"/>
    </row>
    <row r="2" spans="1:28" ht="20.100000000000001" customHeight="1" thickBot="1">
      <c r="A2" s="317"/>
      <c r="B2" s="318" t="s">
        <v>264</v>
      </c>
      <c r="C2" s="319"/>
      <c r="D2" s="320"/>
      <c r="E2" s="321"/>
      <c r="F2" s="317"/>
      <c r="G2" s="318" t="s">
        <v>265</v>
      </c>
      <c r="H2" s="320"/>
      <c r="I2" s="321"/>
      <c r="J2" s="317"/>
      <c r="K2" s="318" t="s">
        <v>294</v>
      </c>
      <c r="L2" s="322"/>
      <c r="M2" s="322"/>
      <c r="N2" s="322"/>
      <c r="O2" s="322"/>
      <c r="P2" s="322"/>
      <c r="Q2" s="323"/>
      <c r="R2" s="321"/>
      <c r="S2" s="317"/>
      <c r="T2" s="318" t="s">
        <v>303</v>
      </c>
      <c r="U2" s="322"/>
      <c r="V2" s="322"/>
      <c r="W2" s="322"/>
      <c r="X2" s="322"/>
      <c r="Y2" s="322"/>
      <c r="Z2" s="323"/>
      <c r="AA2" s="321"/>
    </row>
    <row r="3" spans="1:28" ht="20.100000000000001" customHeight="1">
      <c r="A3" s="317"/>
      <c r="E3" s="321"/>
      <c r="F3" s="317"/>
      <c r="I3" s="321"/>
      <c r="J3" s="317"/>
      <c r="R3" s="321"/>
      <c r="S3" s="317"/>
      <c r="AA3" s="321"/>
    </row>
    <row r="4" spans="1:28" ht="20.100000000000001" customHeight="1">
      <c r="A4" s="317"/>
      <c r="B4" s="324" t="s">
        <v>266</v>
      </c>
      <c r="E4" s="321"/>
      <c r="F4" s="317"/>
      <c r="G4" s="710">
        <v>1</v>
      </c>
      <c r="H4" s="325" t="str">
        <f>IF(G4=1," Si tiene sombra"," No tiene sombra")</f>
        <v xml:space="preserve"> Si tiene sombra</v>
      </c>
      <c r="I4" s="321"/>
      <c r="J4" s="317"/>
      <c r="K4" s="332" t="s">
        <v>297</v>
      </c>
      <c r="L4" s="333"/>
      <c r="M4" s="334">
        <v>100</v>
      </c>
      <c r="Q4" s="721" t="s">
        <v>267</v>
      </c>
      <c r="R4" s="321"/>
      <c r="S4" s="317"/>
      <c r="T4" s="332" t="s">
        <v>271</v>
      </c>
      <c r="U4" s="333"/>
      <c r="V4" s="334">
        <v>200</v>
      </c>
      <c r="AA4" s="321"/>
    </row>
    <row r="5" spans="1:28" ht="20.100000000000001" customHeight="1" thickBot="1">
      <c r="A5" s="317"/>
      <c r="B5" s="326" t="s">
        <v>268</v>
      </c>
      <c r="C5" s="709">
        <v>2</v>
      </c>
      <c r="D5" s="327" t="s">
        <v>269</v>
      </c>
      <c r="E5" s="321"/>
      <c r="F5" s="328"/>
      <c r="G5" s="329"/>
      <c r="H5" s="329"/>
      <c r="I5" s="330"/>
      <c r="J5" s="317"/>
      <c r="K5" s="332" t="s">
        <v>271</v>
      </c>
      <c r="L5" s="333"/>
      <c r="M5" s="334">
        <v>150</v>
      </c>
      <c r="P5" s="327" t="s">
        <v>233</v>
      </c>
      <c r="Q5" s="331">
        <v>-48.388180779152698</v>
      </c>
      <c r="R5" s="321"/>
      <c r="S5" s="317"/>
      <c r="AA5" s="321"/>
    </row>
    <row r="6" spans="1:28" ht="20.100000000000001" customHeight="1" thickBot="1">
      <c r="A6" s="317"/>
      <c r="B6" s="326" t="s">
        <v>270</v>
      </c>
      <c r="C6" s="709">
        <v>1</v>
      </c>
      <c r="D6" s="327" t="s">
        <v>269</v>
      </c>
      <c r="E6" s="321"/>
      <c r="F6" s="691"/>
      <c r="G6" s="691"/>
      <c r="H6" s="691"/>
      <c r="I6" s="691"/>
      <c r="J6" s="317"/>
      <c r="P6" s="327" t="s">
        <v>234</v>
      </c>
      <c r="Q6" s="331">
        <v>10.682248855609185</v>
      </c>
      <c r="R6" s="321"/>
      <c r="S6" s="317"/>
      <c r="W6" s="721" t="s">
        <v>267</v>
      </c>
      <c r="AA6" s="321"/>
    </row>
    <row r="7" spans="1:28" ht="20.100000000000001" customHeight="1" thickBot="1">
      <c r="A7" s="317"/>
      <c r="E7" s="321"/>
      <c r="F7" s="313"/>
      <c r="G7" s="314"/>
      <c r="H7" s="314"/>
      <c r="I7" s="315"/>
      <c r="J7" s="317"/>
      <c r="L7" s="712" t="s">
        <v>277</v>
      </c>
      <c r="M7" s="713" t="s">
        <v>278</v>
      </c>
      <c r="N7" s="713" t="s">
        <v>279</v>
      </c>
      <c r="O7" s="353"/>
      <c r="R7" s="321"/>
      <c r="S7" s="317"/>
      <c r="V7" s="327" t="s">
        <v>233</v>
      </c>
      <c r="W7" s="331">
        <v>-48.388180779152698</v>
      </c>
      <c r="Z7" s="722" t="s">
        <v>274</v>
      </c>
      <c r="AA7" s="321"/>
    </row>
    <row r="8" spans="1:28" ht="20.100000000000001" customHeight="1">
      <c r="A8" s="317"/>
      <c r="B8" s="335" t="s">
        <v>273</v>
      </c>
      <c r="C8" s="336">
        <f>MROUND(10000/(C5*C6),10)</f>
        <v>5000</v>
      </c>
      <c r="D8" s="337" t="s">
        <v>109</v>
      </c>
      <c r="E8" s="321"/>
      <c r="F8" s="317"/>
      <c r="G8" s="346" t="s">
        <v>398</v>
      </c>
      <c r="H8" s="347"/>
      <c r="I8" s="321"/>
      <c r="J8" s="317"/>
      <c r="K8" s="714" t="s">
        <v>295</v>
      </c>
      <c r="L8" s="326" t="s">
        <v>296</v>
      </c>
      <c r="M8" s="342" t="s">
        <v>111</v>
      </c>
      <c r="N8" s="343">
        <f>FICHA!$F$11*(N10/1000)</f>
        <v>275</v>
      </c>
      <c r="O8" s="354"/>
      <c r="R8" s="321"/>
      <c r="S8" s="317"/>
      <c r="V8" s="327" t="s">
        <v>234</v>
      </c>
      <c r="W8" s="331">
        <v>10.682248855609185</v>
      </c>
      <c r="Y8" s="335" t="s">
        <v>157</v>
      </c>
      <c r="Z8" s="339">
        <f>W7+W8*LN(SUM(W11:Y11,W19))</f>
        <v>25.92336881994644</v>
      </c>
      <c r="AA8" s="321"/>
    </row>
    <row r="9" spans="1:28" ht="20.100000000000001" customHeight="1" thickBot="1">
      <c r="A9" s="317"/>
      <c r="E9" s="321"/>
      <c r="F9" s="317"/>
      <c r="G9" s="420" t="s">
        <v>399</v>
      </c>
      <c r="H9" s="421"/>
      <c r="I9" s="321"/>
      <c r="J9" s="317"/>
      <c r="M9" s="694" t="s">
        <v>272</v>
      </c>
      <c r="N9" s="695">
        <f>N8/45</f>
        <v>6.1111111111111107</v>
      </c>
      <c r="O9" s="354"/>
      <c r="R9" s="321"/>
      <c r="S9" s="317"/>
      <c r="AA9" s="321"/>
    </row>
    <row r="10" spans="1:28" ht="20.100000000000001" customHeight="1">
      <c r="A10" s="317"/>
      <c r="C10" s="723" t="s">
        <v>275</v>
      </c>
      <c r="E10" s="321"/>
      <c r="F10" s="317"/>
      <c r="I10" s="321"/>
      <c r="J10" s="317"/>
      <c r="M10" s="342" t="s">
        <v>283</v>
      </c>
      <c r="N10" s="343">
        <f>CEILING(ROUNDUP(1000*((M4*O12)/N11)/FICHA!F11,0),5)</f>
        <v>55</v>
      </c>
      <c r="Q10" s="722" t="s">
        <v>274</v>
      </c>
      <c r="R10" s="321"/>
      <c r="S10" s="317"/>
      <c r="U10" s="712" t="s">
        <v>277</v>
      </c>
      <c r="V10" s="713" t="s">
        <v>278</v>
      </c>
      <c r="W10" s="713" t="s">
        <v>279</v>
      </c>
      <c r="X10" s="713" t="s">
        <v>280</v>
      </c>
      <c r="Y10" s="713" t="s">
        <v>289</v>
      </c>
      <c r="AA10" s="321"/>
    </row>
    <row r="11" spans="1:28" ht="20.100000000000001" customHeight="1" thickBot="1">
      <c r="A11" s="317"/>
      <c r="C11" s="340" t="s">
        <v>276</v>
      </c>
      <c r="E11" s="321"/>
      <c r="F11" s="317"/>
      <c r="G11" s="711">
        <v>9</v>
      </c>
      <c r="H11" s="327" t="s">
        <v>247</v>
      </c>
      <c r="I11" s="321"/>
      <c r="J11" s="317"/>
      <c r="L11" s="332" t="s">
        <v>298</v>
      </c>
      <c r="M11" s="327" t="s">
        <v>285</v>
      </c>
      <c r="N11" s="715">
        <v>0.3</v>
      </c>
      <c r="P11" s="335" t="s">
        <v>226</v>
      </c>
      <c r="Q11" s="339">
        <f>Q5+Q6*LN(SUM(N8))</f>
        <v>11.611565851114783</v>
      </c>
      <c r="R11" s="321"/>
      <c r="S11" s="317"/>
      <c r="T11" s="714" t="s">
        <v>281</v>
      </c>
      <c r="U11" s="326" t="s">
        <v>282</v>
      </c>
      <c r="V11" s="342" t="s">
        <v>111</v>
      </c>
      <c r="W11" s="343">
        <f>FICHA!$F$11*(W13/1000)</f>
        <v>225</v>
      </c>
      <c r="X11" s="343">
        <f>FICHA!$F$11*(X13/1000)</f>
        <v>300</v>
      </c>
      <c r="Y11" s="343">
        <f>FICHA!$F$11*(Y13/1000)</f>
        <v>300</v>
      </c>
      <c r="AA11" s="321"/>
    </row>
    <row r="12" spans="1:28" ht="20.100000000000001" customHeight="1" thickBot="1">
      <c r="A12" s="328"/>
      <c r="B12" s="329"/>
      <c r="C12" s="329"/>
      <c r="D12" s="329"/>
      <c r="E12" s="330"/>
      <c r="F12" s="328"/>
      <c r="G12" s="329"/>
      <c r="H12" s="329"/>
      <c r="I12" s="330"/>
      <c r="J12" s="317"/>
      <c r="M12" s="345" t="s">
        <v>111</v>
      </c>
      <c r="N12" s="693">
        <f>N8*N11</f>
        <v>82.5</v>
      </c>
      <c r="O12" s="358">
        <v>0.78700000000000003</v>
      </c>
      <c r="P12" s="335" t="s">
        <v>397</v>
      </c>
      <c r="Q12" s="339">
        <f>Q5+Q6*LN(SUM(N18:P18,N28))</f>
        <v>19.945413709692438</v>
      </c>
      <c r="R12" s="321"/>
      <c r="S12" s="317"/>
      <c r="V12" s="694" t="s">
        <v>272</v>
      </c>
      <c r="W12" s="695">
        <f>W11/45</f>
        <v>5</v>
      </c>
      <c r="X12" s="695">
        <f>X11/45</f>
        <v>6.666666666666667</v>
      </c>
      <c r="Y12" s="695">
        <f>Y11/45</f>
        <v>6.666666666666667</v>
      </c>
      <c r="AA12" s="321"/>
    </row>
    <row r="13" spans="1:28" ht="20.100000000000001" customHeight="1">
      <c r="J13" s="317"/>
      <c r="L13" s="332" t="s">
        <v>284</v>
      </c>
      <c r="M13" s="327" t="s">
        <v>285</v>
      </c>
      <c r="N13" s="716">
        <f>IF(OR(N11=50%,N11=30%),10%,IF(N11=24%,12%,18%))</f>
        <v>0.1</v>
      </c>
      <c r="O13" s="355" t="str">
        <f>IF(OR(N11=50%,N11=30%),"",IF(N11=46%,"",IF(N11=24%,"","AJUSTAR")))</f>
        <v/>
      </c>
      <c r="Q13" s="722" t="s">
        <v>157</v>
      </c>
      <c r="R13" s="321"/>
      <c r="S13" s="317"/>
      <c r="V13" s="342" t="s">
        <v>283</v>
      </c>
      <c r="W13" s="343">
        <f>CEILING(ROUNDUP(1000*(($AB$13*Z13*27%)/W14)/FICHA!$F$11,0),5)</f>
        <v>45</v>
      </c>
      <c r="X13" s="343">
        <f>CEILING(ROUNDUP(1000*(($AB$13*Z13*70%/2)/X14)/FICHA!$F$11,0),5)</f>
        <v>60</v>
      </c>
      <c r="Y13" s="343">
        <f>CEILING(ROUNDUP(1000*(($AB$13*Z13*70%/2)/Y14)/FICHA!$F$11,0),5)</f>
        <v>60</v>
      </c>
      <c r="Z13" s="359">
        <v>0.67</v>
      </c>
      <c r="AA13" s="321"/>
      <c r="AB13" s="365">
        <v>216</v>
      </c>
    </row>
    <row r="14" spans="1:28" ht="20.100000000000001" customHeight="1">
      <c r="J14" s="317"/>
      <c r="M14" s="345" t="s">
        <v>111</v>
      </c>
      <c r="N14" s="693">
        <f>N8*N13</f>
        <v>27.5</v>
      </c>
      <c r="R14" s="321"/>
      <c r="S14" s="317"/>
      <c r="U14" s="332" t="s">
        <v>284</v>
      </c>
      <c r="V14" s="327" t="s">
        <v>285</v>
      </c>
      <c r="W14" s="418">
        <f>N23</f>
        <v>0.18</v>
      </c>
      <c r="X14" s="418">
        <f t="shared" ref="X14:Y14" si="0">O23</f>
        <v>0.18</v>
      </c>
      <c r="Y14" s="418">
        <f t="shared" si="0"/>
        <v>0.18</v>
      </c>
      <c r="AA14" s="321"/>
    </row>
    <row r="15" spans="1:28" ht="20.100000000000001" customHeight="1">
      <c r="J15" s="317"/>
      <c r="M15" s="692" t="s">
        <v>288</v>
      </c>
      <c r="N15" s="696">
        <f>IF(UNIT!Z1=1,UNIT!AD32,UNIT!AF32)</f>
        <v>22036.86</v>
      </c>
      <c r="R15" s="321"/>
      <c r="S15" s="317"/>
      <c r="V15" s="345" t="s">
        <v>111</v>
      </c>
      <c r="W15" s="693">
        <f>W11*W14</f>
        <v>40.5</v>
      </c>
      <c r="X15" s="693">
        <f t="shared" ref="X15:Y15" si="1">X11*X14</f>
        <v>54</v>
      </c>
      <c r="Y15" s="693">
        <f t="shared" si="1"/>
        <v>54</v>
      </c>
      <c r="Z15" s="360"/>
      <c r="AA15" s="321"/>
    </row>
    <row r="16" spans="1:28" ht="20.100000000000001" customHeight="1">
      <c r="J16" s="317"/>
      <c r="R16" s="321"/>
      <c r="S16" s="317"/>
      <c r="U16" s="717" t="s">
        <v>287</v>
      </c>
      <c r="V16" s="692" t="s">
        <v>288</v>
      </c>
      <c r="W16" s="696">
        <f>N25</f>
        <v>17078.63</v>
      </c>
      <c r="X16" s="696">
        <f>W16</f>
        <v>17078.63</v>
      </c>
      <c r="Y16" s="696">
        <f>W16</f>
        <v>17078.63</v>
      </c>
      <c r="AA16" s="321"/>
    </row>
    <row r="17" spans="8:29" ht="20.100000000000001" customHeight="1">
      <c r="J17" s="317"/>
      <c r="L17" s="712" t="s">
        <v>277</v>
      </c>
      <c r="M17" s="713" t="s">
        <v>278</v>
      </c>
      <c r="N17" s="713" t="s">
        <v>280</v>
      </c>
      <c r="O17" s="713" t="s">
        <v>289</v>
      </c>
      <c r="P17" s="713" t="s">
        <v>299</v>
      </c>
      <c r="R17" s="321"/>
      <c r="S17" s="317"/>
      <c r="AA17" s="321"/>
    </row>
    <row r="18" spans="8:29" ht="20.100000000000001" customHeight="1">
      <c r="J18" s="317"/>
      <c r="K18" s="714" t="s">
        <v>281</v>
      </c>
      <c r="L18" s="326" t="s">
        <v>282</v>
      </c>
      <c r="M18" s="342" t="s">
        <v>111</v>
      </c>
      <c r="N18" s="343">
        <f>FICHA!$F$11*(N20/1000)</f>
        <v>150</v>
      </c>
      <c r="O18" s="343">
        <f>FICHA!$F$11*(O20/1000)</f>
        <v>150</v>
      </c>
      <c r="P18" s="343">
        <f>FICHA!$F$11*(P20/1000)</f>
        <v>175.00000000000003</v>
      </c>
      <c r="R18" s="321"/>
      <c r="S18" s="317"/>
      <c r="W18" s="713" t="s">
        <v>299</v>
      </c>
      <c r="AA18" s="321"/>
    </row>
    <row r="19" spans="8:29" ht="20.100000000000001" customHeight="1" thickBot="1">
      <c r="J19" s="317"/>
      <c r="M19" s="694" t="s">
        <v>272</v>
      </c>
      <c r="N19" s="695">
        <f>N18/45</f>
        <v>3.3333333333333335</v>
      </c>
      <c r="O19" s="695">
        <f>O18/45</f>
        <v>3.3333333333333335</v>
      </c>
      <c r="P19" s="695">
        <f>P18/45</f>
        <v>3.8888888888888897</v>
      </c>
      <c r="R19" s="321"/>
      <c r="S19" s="317"/>
      <c r="T19" s="714" t="s">
        <v>300</v>
      </c>
      <c r="U19" s="326" t="s">
        <v>301</v>
      </c>
      <c r="V19" s="342" t="s">
        <v>111</v>
      </c>
      <c r="W19" s="343">
        <f>FICHA!$F$11*(W21/1000)</f>
        <v>225</v>
      </c>
      <c r="AA19" s="321"/>
    </row>
    <row r="20" spans="8:29" ht="20.100000000000001" customHeight="1">
      <c r="J20" s="317"/>
      <c r="M20" s="342" t="s">
        <v>283</v>
      </c>
      <c r="N20" s="343">
        <f>FLOOR(ROUNDUP(1000*(($M$5*Q20/3)/N23)/FICHA!$F$11,0),5)</f>
        <v>30</v>
      </c>
      <c r="O20" s="343">
        <f>FLOOR(ROUNDUP(1000*(($M$5*Q20/3)/O23)/FICHA!$F$11,0),5)</f>
        <v>30</v>
      </c>
      <c r="P20" s="343">
        <f>CEILING(ROUNDUP(1000*(($M$5*Q20/3)/P23)/FICHA!$F$11,0),5)</f>
        <v>35</v>
      </c>
      <c r="Q20" s="359">
        <v>0.56000000000000005</v>
      </c>
      <c r="R20" s="321"/>
      <c r="S20" s="317"/>
      <c r="V20" s="335" t="s">
        <v>272</v>
      </c>
      <c r="W20" s="343">
        <f>W19/45</f>
        <v>5</v>
      </c>
      <c r="Y20" s="720" t="s">
        <v>275</v>
      </c>
      <c r="AA20" s="321"/>
    </row>
    <row r="21" spans="8:29" ht="20.100000000000001" customHeight="1" thickBot="1">
      <c r="J21" s="317"/>
      <c r="L21" s="332" t="s">
        <v>298</v>
      </c>
      <c r="M21" s="327" t="s">
        <v>285</v>
      </c>
      <c r="N21" s="715">
        <f>IF(N23=15%,3%,IF(N23=17%,6%,IF(N23=18%,5%,4%)))</f>
        <v>0.05</v>
      </c>
      <c r="O21" s="715">
        <f>N21</f>
        <v>0.05</v>
      </c>
      <c r="P21" s="715">
        <f>N21</f>
        <v>0.05</v>
      </c>
      <c r="R21" s="321"/>
      <c r="S21" s="317"/>
      <c r="V21" s="342" t="s">
        <v>283</v>
      </c>
      <c r="W21" s="343">
        <f>CEILING(ROUNDUP(1000*(($AB$13-SUM(W15:Y15))/W22)/FICHA!$F$11,0),5)</f>
        <v>45</v>
      </c>
      <c r="Y21" s="341" t="s">
        <v>293</v>
      </c>
      <c r="AA21" s="321"/>
      <c r="AC21" s="361"/>
    </row>
    <row r="22" spans="8:29" ht="20.100000000000001" customHeight="1" thickBot="1">
      <c r="H22" s="357"/>
      <c r="J22" s="317"/>
      <c r="M22" s="345" t="s">
        <v>111</v>
      </c>
      <c r="N22" s="693">
        <f>N18*N21</f>
        <v>7.5</v>
      </c>
      <c r="O22" s="693">
        <f t="shared" ref="O22:P22" si="2">O18*O21</f>
        <v>7.5</v>
      </c>
      <c r="P22" s="693">
        <f t="shared" si="2"/>
        <v>8.7500000000000018</v>
      </c>
      <c r="R22" s="321"/>
      <c r="S22" s="317"/>
      <c r="U22" s="326" t="s">
        <v>284</v>
      </c>
      <c r="V22" s="327" t="s">
        <v>285</v>
      </c>
      <c r="W22" s="418">
        <v>0.33500000000000002</v>
      </c>
      <c r="X22" s="355"/>
      <c r="AA22" s="321"/>
    </row>
    <row r="23" spans="8:29" ht="20.100000000000001" customHeight="1">
      <c r="J23" s="317"/>
      <c r="L23" s="332" t="s">
        <v>284</v>
      </c>
      <c r="M23" s="327" t="s">
        <v>285</v>
      </c>
      <c r="N23" s="715">
        <v>0.18</v>
      </c>
      <c r="O23" s="715">
        <f>N23</f>
        <v>0.18</v>
      </c>
      <c r="P23" s="715">
        <f>N23</f>
        <v>0.18</v>
      </c>
      <c r="R23" s="321"/>
      <c r="S23" s="317"/>
      <c r="V23" s="348" t="s">
        <v>111</v>
      </c>
      <c r="W23" s="697">
        <f>W19*W22</f>
        <v>75.375</v>
      </c>
      <c r="Y23" s="720" t="s">
        <v>275</v>
      </c>
      <c r="AA23" s="321"/>
    </row>
    <row r="24" spans="8:29" ht="20.100000000000001" customHeight="1" thickBot="1">
      <c r="H24" s="357"/>
      <c r="J24" s="317"/>
      <c r="M24" s="345" t="s">
        <v>111</v>
      </c>
      <c r="N24" s="693">
        <f>N18*N23</f>
        <v>27</v>
      </c>
      <c r="O24" s="693">
        <f t="shared" ref="O24:P24" si="3">O18*O23</f>
        <v>27</v>
      </c>
      <c r="P24" s="693">
        <f t="shared" si="3"/>
        <v>31.500000000000004</v>
      </c>
      <c r="Q24" s="356"/>
      <c r="R24" s="321"/>
      <c r="S24" s="317"/>
      <c r="U24" s="717" t="s">
        <v>287</v>
      </c>
      <c r="V24" s="692" t="s">
        <v>288</v>
      </c>
      <c r="W24" s="696">
        <f>N33</f>
        <v>14074.66</v>
      </c>
      <c r="X24" s="355"/>
      <c r="Y24" s="341" t="s">
        <v>286</v>
      </c>
      <c r="AA24" s="321"/>
    </row>
    <row r="25" spans="8:29" ht="20.100000000000001" customHeight="1" thickBot="1">
      <c r="J25" s="317"/>
      <c r="L25" s="717" t="s">
        <v>287</v>
      </c>
      <c r="M25" s="692" t="s">
        <v>288</v>
      </c>
      <c r="N25" s="696">
        <f>IF(UNIT!Z1=1,UNIT!AD33,UNIT!AF33)</f>
        <v>17078.63</v>
      </c>
      <c r="O25" s="696">
        <f>N25</f>
        <v>17078.63</v>
      </c>
      <c r="P25" s="696">
        <f>N25</f>
        <v>17078.63</v>
      </c>
      <c r="R25" s="321"/>
      <c r="S25" s="328"/>
      <c r="T25" s="329"/>
      <c r="U25" s="329"/>
      <c r="V25" s="329"/>
      <c r="W25" s="329"/>
      <c r="X25" s="329"/>
      <c r="Y25" s="329"/>
      <c r="Z25" s="329"/>
      <c r="AA25" s="330"/>
    </row>
    <row r="26" spans="8:29" ht="20.100000000000001" customHeight="1">
      <c r="J26" s="317"/>
      <c r="R26" s="321"/>
    </row>
    <row r="27" spans="8:29" ht="20.100000000000001" customHeight="1">
      <c r="J27" s="317"/>
      <c r="N27" s="713" t="s">
        <v>302</v>
      </c>
      <c r="R27" s="321"/>
    </row>
    <row r="28" spans="8:29" ht="20.100000000000001" customHeight="1">
      <c r="J28" s="317"/>
      <c r="K28" s="714" t="s">
        <v>300</v>
      </c>
      <c r="L28" s="326" t="s">
        <v>301</v>
      </c>
      <c r="M28" s="327" t="s">
        <v>111</v>
      </c>
      <c r="N28" s="338">
        <f>FICHA!$F$11*(N30/1000)</f>
        <v>125</v>
      </c>
      <c r="R28" s="321"/>
    </row>
    <row r="29" spans="8:29" ht="20.100000000000001" customHeight="1" thickBot="1">
      <c r="J29" s="317"/>
      <c r="M29" s="326" t="s">
        <v>272</v>
      </c>
      <c r="N29" s="338">
        <f>N28/45</f>
        <v>2.7777777777777777</v>
      </c>
      <c r="R29" s="321"/>
    </row>
    <row r="30" spans="8:29" ht="20.100000000000001" customHeight="1">
      <c r="J30" s="317"/>
      <c r="M30" s="342" t="s">
        <v>283</v>
      </c>
      <c r="N30" s="343">
        <f>CEILING(ROUNDUP(1000*((M5-SUM(N14,N24:P24))/N31)/FICHA!F11,0),5)</f>
        <v>25</v>
      </c>
      <c r="P30" s="346" t="s">
        <v>290</v>
      </c>
      <c r="Q30" s="347"/>
      <c r="R30" s="321"/>
    </row>
    <row r="31" spans="8:29" ht="20.100000000000001" customHeight="1">
      <c r="J31" s="317"/>
      <c r="L31" s="326" t="s">
        <v>284</v>
      </c>
      <c r="M31" s="327" t="s">
        <v>285</v>
      </c>
      <c r="N31" s="715">
        <v>0.33500000000000002</v>
      </c>
      <c r="O31" s="355"/>
      <c r="P31" s="349" t="s">
        <v>291</v>
      </c>
      <c r="Q31" s="350"/>
      <c r="R31" s="321"/>
    </row>
    <row r="32" spans="8:29" ht="20.100000000000001" customHeight="1">
      <c r="J32" s="317"/>
      <c r="M32" s="348" t="s">
        <v>111</v>
      </c>
      <c r="N32" s="697">
        <f>N28*N31</f>
        <v>41.875</v>
      </c>
      <c r="P32" s="427" t="s">
        <v>292</v>
      </c>
      <c r="Q32" s="718" t="s">
        <v>275</v>
      </c>
      <c r="R32" s="321"/>
    </row>
    <row r="33" spans="10:23" ht="20.100000000000001" customHeight="1" thickBot="1">
      <c r="J33" s="317"/>
      <c r="L33" s="717" t="s">
        <v>287</v>
      </c>
      <c r="M33" s="692" t="s">
        <v>288</v>
      </c>
      <c r="N33" s="698">
        <f>IF(UNIT!Z1=1,UNIT!AD34,UNIT!AF34)</f>
        <v>14074.66</v>
      </c>
      <c r="O33" s="355"/>
      <c r="P33" s="351" t="s">
        <v>403</v>
      </c>
      <c r="Q33" s="719" t="s">
        <v>275</v>
      </c>
      <c r="R33" s="321"/>
    </row>
    <row r="34" spans="10:23" ht="20.100000000000001" customHeight="1" thickBot="1">
      <c r="J34" s="328"/>
      <c r="K34" s="329"/>
      <c r="L34" s="329"/>
      <c r="M34" s="329"/>
      <c r="N34" s="329"/>
      <c r="O34" s="329"/>
      <c r="P34" s="329"/>
      <c r="Q34" s="329"/>
      <c r="R34" s="330"/>
    </row>
    <row r="36" spans="10:23" ht="20.100000000000001" customHeight="1">
      <c r="M36" s="363" t="s">
        <v>304</v>
      </c>
      <c r="N36" s="364">
        <f>SUM(N12,N22:P22)</f>
        <v>106.25</v>
      </c>
      <c r="Q36" s="426"/>
      <c r="V36" s="363" t="s">
        <v>305</v>
      </c>
      <c r="W36" s="364">
        <f>SUM(W15:Y15,W23)</f>
        <v>223.875</v>
      </c>
    </row>
    <row r="37" spans="10:23" ht="20.100000000000001" customHeight="1">
      <c r="M37" s="363" t="s">
        <v>305</v>
      </c>
      <c r="N37" s="364">
        <f>SUM(N14,N24:P24,N32)</f>
        <v>154.875</v>
      </c>
    </row>
  </sheetData>
  <sheetProtection algorithmName="SHA-512" hashValue="KMa5GvjQ8LDqeNkYNCOaPgu3Jds1/SvrLMlcnaQlIw0etk3rqpvg4h2MfjI66bjei8SLw3m6kcG9Dn2ja+6BNQ==" saltValue="n+tv1B16hvS62SPpSifRuw==" spinCount="100000" sheet="1" objects="1" scenarios="1"/>
  <conditionalFormatting sqref="O13">
    <cfRule type="cellIs" dxfId="19" priority="5" operator="equal">
      <formula>"AJUSTAR"</formula>
    </cfRule>
  </conditionalFormatting>
  <conditionalFormatting sqref="O31">
    <cfRule type="cellIs" dxfId="18" priority="7" operator="equal">
      <formula>"Ajustar"</formula>
    </cfRule>
  </conditionalFormatting>
  <conditionalFormatting sqref="O33">
    <cfRule type="cellIs" dxfId="17" priority="6" operator="equal">
      <formula>"Ajustar"</formula>
    </cfRule>
  </conditionalFormatting>
  <conditionalFormatting sqref="X22">
    <cfRule type="cellIs" dxfId="16" priority="3" operator="equal">
      <formula>"Ajustar"</formula>
    </cfRule>
  </conditionalFormatting>
  <conditionalFormatting sqref="X24">
    <cfRule type="cellIs" dxfId="15" priority="2" operator="equal">
      <formula>"Ajustar"</formula>
    </cfRule>
  </conditionalFormatting>
  <dataValidations count="9">
    <dataValidation type="whole" allowBlank="1" showInputMessage="1" showErrorMessage="1" error="Digite un número ENTERO entre 1 y 2, para indicar si:_x000a_(1) Hay sombra en el cafetal._x000a_(2) No hay sombra en el cafetal." sqref="G4" xr:uid="{B9F0AFDD-7E3D-4BE7-8345-CCA6EAE8D4B7}">
      <formula1>1</formula1>
      <formula2>2</formula2>
    </dataValidation>
    <dataValidation type="decimal" allowBlank="1" showInputMessage="1" showErrorMessage="1" error="Digitar un porcentaje entre 22% y 33%._x000a__x000a_Aunque la Úrea (46%) es una alternativa, no es conveniente por acidifica los suelos y tiene más probabilidades de volatilizarse." sqref="W22 N31" xr:uid="{04569235-B83E-4B40-A7E1-0C6DF719A461}">
      <formula1>0.17</formula1>
      <formula2>0.335</formula2>
    </dataValidation>
    <dataValidation type="decimal" allowBlank="1" showInputMessage="1" showErrorMessage="1" error="Digite un porcentaje entre 15% y 30%." sqref="W14:X14 N23:O23" xr:uid="{186F03A0-AC96-40D8-B003-5528535E56E4}">
      <formula1>0.15</formula1>
      <formula2>0.3</formula2>
    </dataValidation>
    <dataValidation type="decimal" allowBlank="1" showInputMessage="1" showErrorMessage="1" error="Digite un porcentaje entre 24% y 61% según el aporte de fósforo (P2O5) de la fórmula de siembra utilizada:_x000a_A.- 10-30-10 [P2O5 = 30%]_x000a_B.- 12-24-12 [P2O5 = 24%]_x000a_C.- 10-50-0 [P2O5 = 50%]_x000a_D.- 18-46-0 [P2O5 = 46%]" sqref="N11" xr:uid="{28D1647E-370E-4F36-BF70-3FF48DD222AE}">
      <formula1>0.24</formula1>
      <formula2>0.61</formula2>
    </dataValidation>
    <dataValidation type="decimal" allowBlank="1" showInputMessage="1" showErrorMessage="1" error="Digite un porcentaje entre 2% y 6%, según aporte de P2O5 de la Fórmula Completa." sqref="N21" xr:uid="{B2735E4D-08E2-450B-A524-1F12CD8C1A25}">
      <formula1>0.02</formula1>
      <formula2>0.06</formula2>
    </dataValidation>
    <dataValidation type="decimal" allowBlank="1" showInputMessage="1" showErrorMessage="1" error="Digite un porcentaje entre 24% y 61% según el aporte de nitrógeno (N) de la fórmula de siembra utilizada:_x000a_A.- 10-30-10 [N = 10%]_x000a_B.- 12-24-12 [N = 12%]_x000a_C.- 10-50-0 [N = 10%]_x000a_D.- 18-46-0 [N = 18%]" sqref="N13" xr:uid="{9141BE73-60CD-4F46-B674-9D9ADD112097}">
      <formula1>0.07</formula1>
      <formula2>0.18</formula2>
    </dataValidation>
    <dataValidation type="decimal" allowBlank="1" showInputMessage="1" showErrorMessage="1" error="Digite un número entre 0.80 a 1.00 m, que son las DISTANCIAS extremas recomendadas entre PLANTAS." sqref="C6" xr:uid="{18C2354D-8CE9-4529-B120-EDD6379FA07F}">
      <formula1>0.8</formula1>
      <formula2>1</formula2>
    </dataValidation>
    <dataValidation type="decimal" allowBlank="1" showInputMessage="1" showErrorMessage="1" error="Digite un número entre 2.00 y 2.50 m, que son las DISTANCIAS extremas recomendadas entre HILERAS." sqref="C5" xr:uid="{E4DAF48A-EB62-423F-A3D9-8694F3682706}">
      <formula1>2</formula1>
      <formula2>2.5</formula2>
    </dataValidation>
    <dataValidation type="decimal" allowBlank="1" showInputMessage="1" showErrorMessage="1" error="Debe digitar un número entre 1 y 25, permirte incluir decimales._x000a__x000a_A los 18 meses es poco probable ver niveles de productuctividad superiores a las 25 fan/ha." sqref="G11" xr:uid="{5EA22460-69A9-4854-8DAC-743EF0FF0705}">
      <formula1>1</formula1>
      <formula2>25</formula2>
    </dataValidation>
  </dataValidations>
  <hyperlinks>
    <hyperlink ref="C10" r:id="rId1" xr:uid="{5407C687-9C86-4C5B-B2F8-87BFA4403D3A}"/>
    <hyperlink ref="Y20" r:id="rId2" xr:uid="{B4C44232-5F4F-4299-9915-5136E5AF6904}"/>
    <hyperlink ref="Y23" r:id="rId3" xr:uid="{F08981B4-59A5-42F6-B5B2-D7982734A0C6}"/>
    <hyperlink ref="D17" r:id="rId4" display="WEB" xr:uid="{5831B51C-41F8-4852-A09C-31749F3AF9B0}"/>
    <hyperlink ref="D20" r:id="rId5" display="WEB" xr:uid="{80100ABE-97DC-492E-91BA-B7C2CC0A1DC8}"/>
    <hyperlink ref="Q32" r:id="rId6" xr:uid="{7C36897B-43FA-4EB6-9D26-75DCA1D17689}"/>
    <hyperlink ref="Q33" r:id="rId7" xr:uid="{643A4910-1867-4397-ABCC-B65A4101686E}"/>
  </hyperlinks>
  <printOptions horizontalCentered="1" verticalCentered="1"/>
  <pageMargins left="0.31496062992125984" right="0.31496062992125984" top="0.74803149606299213" bottom="0.74803149606299213" header="0.31496062992125984" footer="0.31496062992125984"/>
  <pageSetup scale="90" orientation="portrait" r:id="rId8"/>
  <colBreaks count="2" manualBreakCount="2">
    <brk id="9" max="1048575" man="1"/>
    <brk id="18" max="33" man="1"/>
  </colBreaks>
  <ignoredErrors>
    <ignoredError sqref="N21:P21 N13" unlockedFormula="1"/>
    <ignoredError sqref="O22:P22 O24:P24 W15" formula="1"/>
    <ignoredError sqref="O23:P23 O25:P25" formula="1" unlockedFormula="1"/>
  </ignoredErrors>
  <drawing r:id="rId9"/>
  <legacy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BBEE-A957-4FD2-86B7-5ACF0D19734D}">
  <sheetPr>
    <tabColor rgb="FFEBECC4"/>
  </sheetPr>
  <dimension ref="A1:AB30"/>
  <sheetViews>
    <sheetView showGridLines="0" workbookViewId="0">
      <pane ySplit="2" topLeftCell="A3" activePane="bottomLeft" state="frozen"/>
      <selection activeCell="C5" sqref="C5:D6"/>
      <selection pane="bottomLeft" activeCell="G20" sqref="G20"/>
    </sheetView>
  </sheetViews>
  <sheetFormatPr baseColWidth="10" defaultColWidth="10.85546875" defaultRowHeight="20.100000000000001" customHeight="1"/>
  <cols>
    <col min="1" max="1" width="3.140625" style="316" customWidth="1"/>
    <col min="2" max="2" width="24" style="316" customWidth="1"/>
    <col min="3" max="3" width="17.28515625" style="316" bestFit="1" customWidth="1"/>
    <col min="4" max="4" width="11.7109375" style="316" customWidth="1"/>
    <col min="5" max="6" width="3.140625" style="316" customWidth="1"/>
    <col min="7" max="7" width="27" style="316" bestFit="1" customWidth="1"/>
    <col min="8" max="8" width="7.85546875" style="355" bestFit="1" customWidth="1"/>
    <col min="9" max="9" width="13.7109375" style="355" bestFit="1" customWidth="1"/>
    <col min="10" max="10" width="13.140625" style="316" bestFit="1" customWidth="1"/>
    <col min="11" max="11" width="16.42578125" style="316" customWidth="1"/>
    <col min="12" max="13" width="3.140625" style="316" customWidth="1"/>
    <col min="14" max="14" width="19.28515625" style="316" customWidth="1"/>
    <col min="15" max="17" width="10.85546875" style="316"/>
    <col min="18" max="18" width="12.85546875" style="316" bestFit="1" customWidth="1"/>
    <col min="19" max="19" width="3.140625" style="316" customWidth="1"/>
    <col min="20" max="20" width="1.85546875" style="316" customWidth="1"/>
    <col min="21" max="21" width="4.140625" style="316" customWidth="1"/>
    <col min="22" max="22" width="1.85546875" style="316" customWidth="1"/>
    <col min="23" max="23" width="23.42578125" style="316" customWidth="1"/>
    <col min="24" max="24" width="9" style="316" bestFit="1" customWidth="1"/>
    <col min="25" max="25" width="12.85546875" style="316" bestFit="1" customWidth="1"/>
    <col min="26" max="26" width="13.140625" style="316" bestFit="1" customWidth="1"/>
    <col min="27" max="27" width="17" style="316" bestFit="1" customWidth="1"/>
    <col min="28" max="28" width="3.140625" style="316" customWidth="1"/>
    <col min="29" max="16384" width="10.85546875" style="316"/>
  </cols>
  <sheetData>
    <row r="1" spans="1:28" ht="20.100000000000001" customHeight="1" thickBot="1">
      <c r="A1" s="313"/>
      <c r="B1" s="314"/>
      <c r="C1" s="314"/>
      <c r="D1" s="314"/>
      <c r="E1" s="315"/>
      <c r="F1" s="313"/>
      <c r="G1" s="314"/>
      <c r="H1" s="366"/>
      <c r="I1" s="366"/>
      <c r="J1" s="314"/>
      <c r="K1" s="314"/>
      <c r="L1" s="315"/>
      <c r="M1" s="313"/>
      <c r="N1" s="314"/>
      <c r="O1" s="314"/>
      <c r="P1" s="314"/>
      <c r="Q1" s="314"/>
      <c r="R1" s="314"/>
      <c r="S1" s="315"/>
      <c r="T1" s="313"/>
      <c r="U1" s="314"/>
      <c r="V1" s="314"/>
      <c r="W1" s="314"/>
      <c r="X1" s="314"/>
      <c r="Y1" s="314"/>
      <c r="Z1" s="314"/>
      <c r="AA1" s="314"/>
      <c r="AB1" s="315"/>
    </row>
    <row r="2" spans="1:28" ht="20.100000000000001" customHeight="1" thickBot="1">
      <c r="A2" s="317"/>
      <c r="B2" s="318" t="s">
        <v>374</v>
      </c>
      <c r="C2" s="319"/>
      <c r="D2" s="320"/>
      <c r="E2" s="321"/>
      <c r="F2" s="317"/>
      <c r="G2" s="318" t="s">
        <v>360</v>
      </c>
      <c r="H2" s="319"/>
      <c r="I2" s="319"/>
      <c r="J2" s="319"/>
      <c r="K2" s="320"/>
      <c r="L2" s="321"/>
      <c r="M2" s="317"/>
      <c r="N2" s="318" t="s">
        <v>366</v>
      </c>
      <c r="O2" s="319"/>
      <c r="P2" s="319"/>
      <c r="Q2" s="319"/>
      <c r="R2" s="320"/>
      <c r="S2" s="321"/>
      <c r="T2" s="317"/>
      <c r="W2" s="318" t="s">
        <v>368</v>
      </c>
      <c r="X2" s="319"/>
      <c r="Y2" s="319"/>
      <c r="Z2" s="319"/>
      <c r="AA2" s="320"/>
      <c r="AB2" s="321"/>
    </row>
    <row r="3" spans="1:28" ht="20.100000000000001" customHeight="1">
      <c r="A3" s="317"/>
      <c r="E3" s="321"/>
      <c r="F3" s="317"/>
      <c r="L3" s="321"/>
      <c r="M3" s="317"/>
      <c r="S3" s="321"/>
      <c r="T3" s="317"/>
      <c r="AB3" s="321"/>
    </row>
    <row r="4" spans="1:28" ht="20.100000000000001" customHeight="1">
      <c r="A4" s="317"/>
      <c r="B4" s="324" t="s">
        <v>375</v>
      </c>
      <c r="E4" s="321"/>
      <c r="F4" s="317"/>
      <c r="H4" s="316"/>
      <c r="I4" s="721" t="s">
        <v>308</v>
      </c>
      <c r="K4" s="722" t="s">
        <v>274</v>
      </c>
      <c r="L4" s="321"/>
      <c r="M4" s="317"/>
      <c r="N4" s="345" t="s">
        <v>307</v>
      </c>
      <c r="O4" s="710">
        <v>3</v>
      </c>
      <c r="S4" s="321"/>
      <c r="T4" s="317"/>
      <c r="AA4" s="722" t="s">
        <v>274</v>
      </c>
      <c r="AB4" s="321"/>
    </row>
    <row r="5" spans="1:28" ht="20.100000000000001" customHeight="1">
      <c r="A5" s="317"/>
      <c r="E5" s="321"/>
      <c r="F5" s="317"/>
      <c r="H5" s="327" t="s">
        <v>233</v>
      </c>
      <c r="I5" s="331">
        <v>10.625227286048375</v>
      </c>
      <c r="J5" s="368" t="s">
        <v>157</v>
      </c>
      <c r="K5" s="339">
        <f>I5*POWER((I9*$H$9/200),I6)</f>
        <v>22.961178296075914</v>
      </c>
      <c r="L5" s="321"/>
      <c r="M5" s="317"/>
      <c r="N5" s="367" t="s">
        <v>311</v>
      </c>
      <c r="O5" s="724" t="s">
        <v>312</v>
      </c>
      <c r="S5" s="321"/>
      <c r="T5" s="317"/>
      <c r="Z5" s="406" t="s">
        <v>157</v>
      </c>
      <c r="AA5" s="339">
        <f>AA8</f>
        <v>13.931731758356245</v>
      </c>
      <c r="AB5" s="321"/>
    </row>
    <row r="6" spans="1:28" ht="20.100000000000001" customHeight="1" thickBot="1">
      <c r="A6" s="317"/>
      <c r="B6" s="712" t="s">
        <v>369</v>
      </c>
      <c r="C6" s="713" t="s">
        <v>376</v>
      </c>
      <c r="D6" s="713" t="s">
        <v>111</v>
      </c>
      <c r="E6" s="321"/>
      <c r="F6" s="317"/>
      <c r="H6" s="327" t="s">
        <v>234</v>
      </c>
      <c r="I6" s="331">
        <v>0.70140648469761535</v>
      </c>
      <c r="L6" s="321"/>
      <c r="M6" s="317"/>
      <c r="S6" s="321"/>
      <c r="T6" s="317"/>
      <c r="AB6" s="321"/>
    </row>
    <row r="7" spans="1:28" ht="20.100000000000001" customHeight="1" thickBot="1">
      <c r="A7" s="317"/>
      <c r="B7" s="316" t="s">
        <v>371</v>
      </c>
      <c r="C7" s="355">
        <v>10</v>
      </c>
      <c r="D7" s="355">
        <f>(C7/1000)*TECNICO!$C$8</f>
        <v>50</v>
      </c>
      <c r="E7" s="321"/>
      <c r="F7" s="317"/>
      <c r="H7" s="369"/>
      <c r="L7" s="321"/>
      <c r="M7" s="317"/>
      <c r="S7" s="321"/>
      <c r="T7" s="317"/>
      <c r="W7" s="375" t="s">
        <v>153</v>
      </c>
      <c r="X7" s="376" t="s">
        <v>315</v>
      </c>
      <c r="Y7" s="377" t="s">
        <v>316</v>
      </c>
      <c r="Z7" s="377" t="s">
        <v>317</v>
      </c>
      <c r="AA7" s="378" t="s">
        <v>157</v>
      </c>
      <c r="AB7" s="321"/>
    </row>
    <row r="8" spans="1:28" ht="20.100000000000001" customHeight="1" thickBot="1">
      <c r="A8" s="317"/>
      <c r="B8" s="316" t="s">
        <v>372</v>
      </c>
      <c r="C8" s="355">
        <v>10</v>
      </c>
      <c r="D8" s="355">
        <f>(C8/1000)*TECNICO!$C$8</f>
        <v>50</v>
      </c>
      <c r="E8" s="321"/>
      <c r="F8" s="317"/>
      <c r="G8" s="375" t="s">
        <v>153</v>
      </c>
      <c r="H8" s="376" t="s">
        <v>315</v>
      </c>
      <c r="I8" s="377" t="s">
        <v>316</v>
      </c>
      <c r="J8" s="377" t="s">
        <v>317</v>
      </c>
      <c r="K8" s="378" t="s">
        <v>157</v>
      </c>
      <c r="L8" s="321"/>
      <c r="M8" s="317"/>
      <c r="N8" s="370" t="s">
        <v>313</v>
      </c>
      <c r="O8" s="371" t="s">
        <v>233</v>
      </c>
      <c r="P8" s="372" t="s">
        <v>234</v>
      </c>
      <c r="Q8" s="371" t="s">
        <v>312</v>
      </c>
      <c r="R8" s="373" t="s">
        <v>314</v>
      </c>
      <c r="S8" s="321"/>
      <c r="T8" s="317"/>
      <c r="W8" s="316" t="s">
        <v>321</v>
      </c>
      <c r="X8" s="355">
        <v>1</v>
      </c>
      <c r="Y8" s="355">
        <f>AVERAGE(300,350)</f>
        <v>325</v>
      </c>
      <c r="Z8" s="362">
        <v>8.5733733897576894</v>
      </c>
      <c r="AA8" s="362">
        <f>Z8*(Y8/200)</f>
        <v>13.931731758356245</v>
      </c>
      <c r="AB8" s="321"/>
    </row>
    <row r="9" spans="1:28" ht="20.100000000000001" customHeight="1" thickBot="1">
      <c r="A9" s="317"/>
      <c r="B9" s="396" t="s">
        <v>373</v>
      </c>
      <c r="C9" s="409">
        <v>5</v>
      </c>
      <c r="D9" s="409">
        <f>(C9/1000)*TECNICO!$C$8</f>
        <v>25</v>
      </c>
      <c r="E9" s="321"/>
      <c r="F9" s="317"/>
      <c r="G9" s="316" t="s">
        <v>30</v>
      </c>
      <c r="H9" s="355">
        <v>3</v>
      </c>
      <c r="I9" s="355">
        <v>200</v>
      </c>
      <c r="J9" s="405">
        <f>K9/(I9/200)/H9</f>
        <v>7.6537260986919717</v>
      </c>
      <c r="K9" s="362">
        <f>K5</f>
        <v>22.961178296075914</v>
      </c>
      <c r="L9" s="321"/>
      <c r="M9" s="317"/>
      <c r="N9" s="316" t="s">
        <v>320</v>
      </c>
      <c r="O9" s="355">
        <v>1</v>
      </c>
      <c r="P9" s="355">
        <v>2</v>
      </c>
      <c r="Q9" s="362">
        <v>3.40625</v>
      </c>
      <c r="R9" s="380">
        <v>2.2244897959183674</v>
      </c>
      <c r="S9" s="321"/>
      <c r="T9" s="317"/>
      <c r="AB9" s="321"/>
    </row>
    <row r="10" spans="1:28" ht="20.100000000000001" customHeight="1" thickBot="1">
      <c r="A10" s="317"/>
      <c r="B10" s="329" t="s">
        <v>377</v>
      </c>
      <c r="C10" s="393">
        <f>2.5*(250/1000)</f>
        <v>0.625</v>
      </c>
      <c r="D10" s="394">
        <f>C10*TECNICO!C8/1000</f>
        <v>3.125</v>
      </c>
      <c r="E10" s="321"/>
      <c r="F10" s="317"/>
      <c r="L10" s="321"/>
      <c r="M10" s="317"/>
      <c r="N10" s="316" t="s">
        <v>318</v>
      </c>
      <c r="O10" s="355">
        <v>23</v>
      </c>
      <c r="P10" s="355">
        <v>43</v>
      </c>
      <c r="Q10" s="355">
        <v>32</v>
      </c>
      <c r="R10" s="379">
        <v>98</v>
      </c>
      <c r="S10" s="321"/>
      <c r="T10" s="317"/>
      <c r="W10" s="375" t="s">
        <v>31</v>
      </c>
      <c r="X10" s="377" t="s">
        <v>278</v>
      </c>
      <c r="Y10" s="377" t="s">
        <v>323</v>
      </c>
      <c r="Z10" s="385" t="s">
        <v>324</v>
      </c>
      <c r="AA10" s="386" t="s">
        <v>325</v>
      </c>
      <c r="AB10" s="321"/>
    </row>
    <row r="11" spans="1:28" ht="20.100000000000001" customHeight="1" thickBot="1">
      <c r="A11" s="317"/>
      <c r="B11" s="344" t="s">
        <v>379</v>
      </c>
      <c r="E11" s="389"/>
      <c r="F11" s="317"/>
      <c r="G11" s="375" t="s">
        <v>31</v>
      </c>
      <c r="H11" s="377" t="s">
        <v>278</v>
      </c>
      <c r="I11" s="377" t="s">
        <v>323</v>
      </c>
      <c r="J11" s="385" t="s">
        <v>324</v>
      </c>
      <c r="K11" s="386" t="s">
        <v>325</v>
      </c>
      <c r="L11" s="321"/>
      <c r="M11" s="317"/>
      <c r="N11" s="613" t="s">
        <v>322</v>
      </c>
      <c r="O11" s="339">
        <v>26.66927571205132</v>
      </c>
      <c r="P11" s="339">
        <v>47.271469953894098</v>
      </c>
      <c r="Q11" s="383">
        <v>85.435420101344533</v>
      </c>
      <c r="R11" s="384">
        <v>54.897959108547468</v>
      </c>
      <c r="S11" s="321"/>
      <c r="T11" s="317"/>
      <c r="U11" s="710">
        <v>1</v>
      </c>
      <c r="W11" s="316" t="s">
        <v>332</v>
      </c>
      <c r="X11" s="355" t="s">
        <v>331</v>
      </c>
      <c r="Y11" s="362">
        <v>2</v>
      </c>
      <c r="Z11" s="355">
        <f>X8</f>
        <v>1</v>
      </c>
      <c r="AA11" s="388">
        <f>IF(U11=2,0,Y11*Z11)</f>
        <v>2</v>
      </c>
      <c r="AB11" s="321"/>
    </row>
    <row r="12" spans="1:28" ht="20.100000000000001" customHeight="1" thickBot="1">
      <c r="A12" s="317"/>
      <c r="B12" s="344" t="s">
        <v>378</v>
      </c>
      <c r="E12" s="321"/>
      <c r="F12" s="317"/>
      <c r="G12" s="316" t="s">
        <v>327</v>
      </c>
      <c r="H12" s="355" t="s">
        <v>328</v>
      </c>
      <c r="I12" s="388">
        <v>0.2</v>
      </c>
      <c r="J12" s="388">
        <v>1.2</v>
      </c>
      <c r="K12" s="388">
        <f>I12*J12</f>
        <v>0.24</v>
      </c>
      <c r="L12" s="389"/>
      <c r="M12" s="317"/>
      <c r="N12" s="316" t="s">
        <v>329</v>
      </c>
      <c r="O12" s="354">
        <f>O11/O9</f>
        <v>26.66927571205132</v>
      </c>
      <c r="P12" s="354">
        <f>P11/P9</f>
        <v>23.635734976947049</v>
      </c>
      <c r="Q12" s="425">
        <f>Q11/Q9</f>
        <v>25.081958194890138</v>
      </c>
      <c r="R12" s="387">
        <f>R11/R9</f>
        <v>24.678899048796566</v>
      </c>
      <c r="S12" s="321"/>
      <c r="T12" s="317"/>
      <c r="W12" s="316" t="s">
        <v>502</v>
      </c>
      <c r="X12" s="355" t="s">
        <v>331</v>
      </c>
      <c r="Y12" s="362">
        <v>2</v>
      </c>
      <c r="Z12" s="355">
        <v>1</v>
      </c>
      <c r="AA12" s="388">
        <f>IF(U11=1,0,Y12*Z12)</f>
        <v>0</v>
      </c>
      <c r="AB12" s="321"/>
    </row>
    <row r="13" spans="1:28" ht="20.100000000000001" customHeight="1" thickBot="1">
      <c r="A13" s="317"/>
      <c r="E13" s="321"/>
      <c r="F13" s="317"/>
      <c r="G13" s="316" t="s">
        <v>330</v>
      </c>
      <c r="H13" s="355" t="s">
        <v>331</v>
      </c>
      <c r="I13" s="388">
        <v>0.4</v>
      </c>
      <c r="J13" s="388">
        <v>0.9</v>
      </c>
      <c r="K13" s="388">
        <f t="shared" ref="K13" si="0">I13*J13</f>
        <v>0.36000000000000004</v>
      </c>
      <c r="L13" s="321"/>
      <c r="M13" s="317"/>
      <c r="S13" s="321"/>
      <c r="T13" s="317"/>
      <c r="W13" s="329" t="s">
        <v>20</v>
      </c>
      <c r="X13" s="393" t="s">
        <v>331</v>
      </c>
      <c r="Y13" s="394">
        <v>0.12796874999999999</v>
      </c>
      <c r="Z13" s="393">
        <f>X8</f>
        <v>1</v>
      </c>
      <c r="AA13" s="395">
        <f>Y13*Z13*(Y8/200)</f>
        <v>0.20794921875</v>
      </c>
      <c r="AB13" s="321"/>
    </row>
    <row r="14" spans="1:28" ht="20.100000000000001" customHeight="1">
      <c r="A14" s="317"/>
      <c r="C14" s="720" t="s">
        <v>275</v>
      </c>
      <c r="E14" s="321"/>
      <c r="F14" s="317"/>
      <c r="G14" s="332" t="s">
        <v>20</v>
      </c>
      <c r="H14" s="390" t="s">
        <v>331</v>
      </c>
      <c r="I14" s="391">
        <v>0.28999999999999998</v>
      </c>
      <c r="J14" s="391">
        <v>3</v>
      </c>
      <c r="K14" s="392">
        <f>I14*J14*(I9/200)</f>
        <v>0.86999999999999988</v>
      </c>
      <c r="L14" s="321"/>
      <c r="M14" s="317"/>
      <c r="N14" s="712" t="s">
        <v>333</v>
      </c>
      <c r="O14" s="712"/>
      <c r="P14" s="713" t="s">
        <v>329</v>
      </c>
      <c r="S14" s="321"/>
      <c r="T14" s="317"/>
      <c r="Y14" s="713" t="s">
        <v>337</v>
      </c>
      <c r="AA14" s="713" t="s">
        <v>337</v>
      </c>
      <c r="AB14" s="321"/>
    </row>
    <row r="15" spans="1:28" ht="20.100000000000001" customHeight="1" thickBot="1">
      <c r="A15" s="317"/>
      <c r="C15" s="341" t="s">
        <v>380</v>
      </c>
      <c r="E15" s="321"/>
      <c r="F15" s="317"/>
      <c r="G15" s="316" t="s">
        <v>335</v>
      </c>
      <c r="H15" s="355" t="s">
        <v>331</v>
      </c>
      <c r="I15" s="388">
        <v>0.4</v>
      </c>
      <c r="J15" s="388">
        <v>0.6</v>
      </c>
      <c r="K15" s="388">
        <f t="shared" ref="K15:K21" si="1">I15*J15</f>
        <v>0.24</v>
      </c>
      <c r="L15" s="321"/>
      <c r="M15" s="317"/>
      <c r="N15" s="424" t="s">
        <v>50</v>
      </c>
      <c r="O15" s="396"/>
      <c r="P15" s="397">
        <v>28.915275368243432</v>
      </c>
      <c r="S15" s="321"/>
      <c r="T15" s="317"/>
      <c r="AB15" s="321"/>
    </row>
    <row r="16" spans="1:28" ht="20.100000000000001" customHeight="1" thickBot="1">
      <c r="A16" s="328"/>
      <c r="B16" s="329"/>
      <c r="C16" s="329"/>
      <c r="D16" s="329"/>
      <c r="E16" s="330"/>
      <c r="F16" s="317"/>
      <c r="G16" s="316" t="s">
        <v>504</v>
      </c>
      <c r="H16" s="355" t="s">
        <v>331</v>
      </c>
      <c r="I16" s="388">
        <v>1</v>
      </c>
      <c r="J16" s="388">
        <v>0.6</v>
      </c>
      <c r="K16" s="388">
        <f t="shared" si="1"/>
        <v>0.6</v>
      </c>
      <c r="L16" s="321"/>
      <c r="M16" s="317"/>
      <c r="N16" s="424" t="s">
        <v>124</v>
      </c>
      <c r="O16" s="396"/>
      <c r="P16" s="397">
        <v>18.199581425533566</v>
      </c>
      <c r="S16" s="321"/>
      <c r="T16" s="317"/>
      <c r="AB16" s="321"/>
    </row>
    <row r="17" spans="1:28" ht="20.100000000000001" customHeight="1" thickBot="1">
      <c r="A17" s="314"/>
      <c r="B17" s="314"/>
      <c r="C17" s="314"/>
      <c r="D17" s="314"/>
      <c r="E17" s="315"/>
      <c r="F17" s="317"/>
      <c r="G17" s="316" t="s">
        <v>338</v>
      </c>
      <c r="H17" s="355" t="s">
        <v>328</v>
      </c>
      <c r="I17" s="388">
        <v>1</v>
      </c>
      <c r="J17" s="388">
        <v>0.6</v>
      </c>
      <c r="K17" s="388">
        <f t="shared" si="1"/>
        <v>0.6</v>
      </c>
      <c r="L17" s="321"/>
      <c r="M17" s="328"/>
      <c r="N17" s="329"/>
      <c r="O17" s="329"/>
      <c r="P17" s="329"/>
      <c r="Q17" s="329"/>
      <c r="R17" s="329"/>
      <c r="S17" s="330"/>
      <c r="T17" s="317"/>
      <c r="W17" s="408" t="s">
        <v>367</v>
      </c>
      <c r="X17" s="407"/>
      <c r="Y17" s="407"/>
      <c r="Z17" s="333"/>
      <c r="AB17" s="321"/>
    </row>
    <row r="18" spans="1:28" ht="20.100000000000001" customHeight="1" thickBot="1">
      <c r="E18" s="321"/>
      <c r="F18" s="317"/>
      <c r="G18" s="316" t="s">
        <v>340</v>
      </c>
      <c r="H18" s="355" t="s">
        <v>331</v>
      </c>
      <c r="I18" s="388">
        <v>0.4</v>
      </c>
      <c r="J18" s="388">
        <v>0.3</v>
      </c>
      <c r="K18" s="388">
        <f t="shared" si="1"/>
        <v>0.12</v>
      </c>
      <c r="L18" s="321"/>
      <c r="N18" s="388"/>
      <c r="O18" s="404"/>
      <c r="T18" s="328"/>
      <c r="U18" s="329"/>
      <c r="V18" s="329"/>
      <c r="W18" s="329"/>
      <c r="X18" s="329"/>
      <c r="Y18" s="329"/>
      <c r="Z18" s="329"/>
      <c r="AA18" s="329"/>
      <c r="AB18" s="330"/>
    </row>
    <row r="19" spans="1:28" ht="20.100000000000001" customHeight="1">
      <c r="E19" s="321"/>
      <c r="F19" s="317"/>
      <c r="G19" s="316" t="s">
        <v>343</v>
      </c>
      <c r="H19" s="355" t="s">
        <v>331</v>
      </c>
      <c r="I19" s="388">
        <v>1</v>
      </c>
      <c r="J19" s="388">
        <v>0.6</v>
      </c>
      <c r="K19" s="388">
        <f t="shared" si="1"/>
        <v>0.6</v>
      </c>
      <c r="L19" s="321"/>
      <c r="N19" s="388"/>
      <c r="O19" s="404"/>
    </row>
    <row r="20" spans="1:28" ht="20.100000000000001" customHeight="1">
      <c r="E20" s="321"/>
      <c r="F20" s="317"/>
      <c r="G20" s="316" t="s">
        <v>344</v>
      </c>
      <c r="H20" s="355" t="s">
        <v>345</v>
      </c>
      <c r="I20" s="388">
        <v>1</v>
      </c>
      <c r="J20" s="388">
        <v>0.9</v>
      </c>
      <c r="K20" s="388">
        <f t="shared" si="1"/>
        <v>0.9</v>
      </c>
      <c r="L20" s="321"/>
      <c r="N20" s="388"/>
      <c r="O20" s="404"/>
    </row>
    <row r="21" spans="1:28" ht="20.100000000000001" customHeight="1" thickBot="1">
      <c r="E21" s="321"/>
      <c r="F21" s="317"/>
      <c r="G21" s="329" t="s">
        <v>346</v>
      </c>
      <c r="H21" s="393" t="s">
        <v>331</v>
      </c>
      <c r="I21" s="393">
        <f>I9</f>
        <v>200</v>
      </c>
      <c r="J21" s="393">
        <v>3</v>
      </c>
      <c r="K21" s="398">
        <f t="shared" si="1"/>
        <v>600</v>
      </c>
      <c r="L21" s="321"/>
      <c r="N21" s="388"/>
      <c r="O21" s="404"/>
    </row>
    <row r="22" spans="1:28" ht="20.100000000000001" customHeight="1">
      <c r="E22" s="321"/>
      <c r="F22" s="317"/>
      <c r="I22" s="713" t="s">
        <v>337</v>
      </c>
      <c r="K22" s="713" t="s">
        <v>337</v>
      </c>
      <c r="L22" s="321"/>
      <c r="N22" s="388"/>
      <c r="O22" s="404"/>
    </row>
    <row r="23" spans="1:28" ht="20.100000000000001" customHeight="1" thickBot="1">
      <c r="E23" s="321"/>
      <c r="F23" s="317"/>
      <c r="L23" s="321"/>
    </row>
    <row r="24" spans="1:28" ht="20.100000000000001" customHeight="1" thickBot="1">
      <c r="E24" s="321"/>
      <c r="F24" s="317"/>
      <c r="G24" s="726" t="s">
        <v>401</v>
      </c>
      <c r="H24" s="727" t="s">
        <v>365</v>
      </c>
      <c r="I24" s="728"/>
      <c r="L24" s="321"/>
      <c r="N24" s="388"/>
      <c r="O24" s="404"/>
    </row>
    <row r="25" spans="1:28" ht="20.100000000000001" customHeight="1">
      <c r="E25" s="321"/>
      <c r="F25" s="317"/>
      <c r="G25" s="423" t="s">
        <v>350</v>
      </c>
      <c r="H25" s="325" t="s">
        <v>362</v>
      </c>
      <c r="I25" s="316"/>
      <c r="L25" s="321"/>
      <c r="N25" s="388"/>
      <c r="O25" s="404"/>
    </row>
    <row r="26" spans="1:28" ht="20.100000000000001" customHeight="1">
      <c r="E26" s="321"/>
      <c r="F26" s="317"/>
      <c r="G26" s="423" t="s">
        <v>352</v>
      </c>
      <c r="H26" s="325" t="s">
        <v>361</v>
      </c>
      <c r="I26" s="316"/>
      <c r="L26" s="321"/>
      <c r="N26" s="388"/>
      <c r="O26" s="404"/>
    </row>
    <row r="27" spans="1:28" ht="20.100000000000001" customHeight="1" thickBot="1">
      <c r="E27" s="321"/>
      <c r="F27" s="317"/>
      <c r="G27" s="422" t="s">
        <v>354</v>
      </c>
      <c r="H27" s="329" t="s">
        <v>363</v>
      </c>
      <c r="I27" s="329"/>
      <c r="L27" s="321"/>
      <c r="N27" s="388"/>
      <c r="O27" s="404"/>
    </row>
    <row r="28" spans="1:28" ht="20.100000000000001" customHeight="1" thickBot="1">
      <c r="F28" s="328"/>
      <c r="G28" s="329"/>
      <c r="H28" s="393"/>
      <c r="I28" s="393"/>
      <c r="J28" s="329"/>
      <c r="K28" s="329"/>
      <c r="L28" s="330"/>
      <c r="N28" s="388"/>
      <c r="O28" s="404"/>
    </row>
    <row r="29" spans="1:28" ht="20.100000000000001" customHeight="1">
      <c r="H29" s="316"/>
      <c r="I29" s="316"/>
    </row>
    <row r="30" spans="1:28" ht="20.100000000000001" customHeight="1">
      <c r="N30" s="388"/>
      <c r="O30" s="404"/>
    </row>
  </sheetData>
  <sheetProtection algorithmName="SHA-512" hashValue="5XlQ5g9Qp8lGiCYlmKs4iUR6cdwTYzBTWN6CZ4gNGb0E9AChMiCwPFl6MweeYDKEbOeUjD3wPAuFKXuFyJcXhw==" saltValue="3d0wdfiBjSWQcDYxnU0oQg==" spinCount="100000" sheet="1" objects="1" scenarios="1"/>
  <conditionalFormatting sqref="O8:Q8">
    <cfRule type="cellIs" dxfId="14" priority="5" operator="equal">
      <formula>$O$5</formula>
    </cfRule>
  </conditionalFormatting>
  <conditionalFormatting sqref="R8">
    <cfRule type="cellIs" dxfId="13" priority="4" operator="equal">
      <formula>#REF!</formula>
    </cfRule>
  </conditionalFormatting>
  <conditionalFormatting sqref="W11">
    <cfRule type="expression" dxfId="12" priority="3">
      <formula>$U$11=2</formula>
    </cfRule>
  </conditionalFormatting>
  <conditionalFormatting sqref="W12">
    <cfRule type="expression" dxfId="11" priority="2">
      <formula>$U$11=1</formula>
    </cfRule>
  </conditionalFormatting>
  <conditionalFormatting sqref="AA11:AA12">
    <cfRule type="cellIs" dxfId="10" priority="1" operator="equal">
      <formula>0</formula>
    </cfRule>
  </conditionalFormatting>
  <dataValidations count="2">
    <dataValidation type="whole" allowBlank="1" showInputMessage="1" showErrorMessage="1" error="Digite un número ENTERO entre 1 y 3." sqref="O4" xr:uid="{6FA44B47-EA43-4E36-9D23-A0BECF6571C0}">
      <formula1>1</formula1>
      <formula2>3</formula2>
    </dataValidation>
    <dataValidation type="whole" allowBlank="1" showInputMessage="1" showErrorMessage="1" error="Digite un número ENTERO entre 1 y 2, para indicar el herbicida usado:_x000a_(1) Glifosato 35.6 SL._x000a_(2) Glifosinato 15 SL." sqref="U11" xr:uid="{BE90E307-35F6-4823-A6A7-CFB825959F87}">
      <formula1>1</formula1>
      <formula2>2</formula2>
    </dataValidation>
  </dataValidations>
  <hyperlinks>
    <hyperlink ref="C14" r:id="rId1" xr:uid="{561AE7C4-1E50-46A0-84BD-FE8806DFB503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scale="85" orientation="landscape" r:id="rId2"/>
  <colBreaks count="1" manualBreakCount="1">
    <brk id="12" max="1048575" man="1"/>
  </colBreaks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ABEE-7280-4308-BE7B-A09C2B1845E0}">
  <sheetPr>
    <tabColor rgb="FFEBECC4"/>
  </sheetPr>
  <dimension ref="A1:AD30"/>
  <sheetViews>
    <sheetView showGridLines="0" workbookViewId="0">
      <pane ySplit="2" topLeftCell="A3" activePane="bottomLeft" state="frozen"/>
      <selection activeCell="C5" sqref="C5:D6"/>
      <selection pane="bottomLeft" activeCell="I16" sqref="I16"/>
    </sheetView>
  </sheetViews>
  <sheetFormatPr baseColWidth="10" defaultColWidth="10.85546875" defaultRowHeight="20.100000000000001" customHeight="1"/>
  <cols>
    <col min="1" max="1" width="3.140625" style="316" customWidth="1"/>
    <col min="2" max="2" width="16.42578125" style="316" customWidth="1"/>
    <col min="3" max="6" width="9.5703125" style="316" customWidth="1"/>
    <col min="7" max="8" width="3.140625" style="316" customWidth="1"/>
    <col min="9" max="9" width="27" style="316" bestFit="1" customWidth="1"/>
    <col min="10" max="10" width="7.85546875" style="355" bestFit="1" customWidth="1"/>
    <col min="11" max="11" width="13.7109375" style="355" bestFit="1" customWidth="1"/>
    <col min="12" max="12" width="13.140625" style="316" bestFit="1" customWidth="1"/>
    <col min="13" max="13" width="16.42578125" style="316" customWidth="1"/>
    <col min="14" max="15" width="3.140625" style="316" customWidth="1"/>
    <col min="16" max="16" width="19.28515625" style="316" customWidth="1"/>
    <col min="17" max="19" width="10.85546875" style="316"/>
    <col min="20" max="20" width="12.85546875" style="316" bestFit="1" customWidth="1"/>
    <col min="21" max="21" width="3.140625" style="316" customWidth="1"/>
    <col min="22" max="22" width="1.42578125" style="316" customWidth="1"/>
    <col min="23" max="23" width="4.42578125" style="316" customWidth="1"/>
    <col min="24" max="24" width="1.42578125" style="316" customWidth="1"/>
    <col min="25" max="25" width="23.42578125" style="316" customWidth="1"/>
    <col min="26" max="26" width="9" style="316" bestFit="1" customWidth="1"/>
    <col min="27" max="27" width="12.85546875" style="316" bestFit="1" customWidth="1"/>
    <col min="28" max="28" width="13.140625" style="316" bestFit="1" customWidth="1"/>
    <col min="29" max="29" width="17" style="316" bestFit="1" customWidth="1"/>
    <col min="30" max="30" width="3.140625" style="316" customWidth="1"/>
    <col min="31" max="16384" width="10.85546875" style="316"/>
  </cols>
  <sheetData>
    <row r="1" spans="1:30" ht="20.100000000000001" customHeight="1" thickBot="1">
      <c r="A1" s="313"/>
      <c r="B1" s="314"/>
      <c r="C1" s="314"/>
      <c r="D1" s="314"/>
      <c r="E1" s="314"/>
      <c r="F1" s="314"/>
      <c r="G1" s="314"/>
      <c r="H1" s="313"/>
      <c r="I1" s="314"/>
      <c r="J1" s="366"/>
      <c r="K1" s="366"/>
      <c r="L1" s="314"/>
      <c r="M1" s="314"/>
      <c r="N1" s="315"/>
      <c r="O1" s="313"/>
      <c r="P1" s="314"/>
      <c r="Q1" s="314"/>
      <c r="R1" s="314"/>
      <c r="S1" s="314"/>
      <c r="T1" s="314"/>
      <c r="U1" s="314"/>
      <c r="V1" s="313"/>
      <c r="W1" s="314"/>
      <c r="X1" s="314"/>
      <c r="Y1" s="314"/>
      <c r="Z1" s="314"/>
      <c r="AA1" s="314"/>
      <c r="AB1" s="314"/>
      <c r="AC1" s="314"/>
      <c r="AD1" s="315"/>
    </row>
    <row r="2" spans="1:30" ht="20.100000000000001" customHeight="1" thickBot="1">
      <c r="A2" s="317"/>
      <c r="B2" s="318" t="s">
        <v>396</v>
      </c>
      <c r="C2" s="319"/>
      <c r="D2" s="319"/>
      <c r="E2" s="319"/>
      <c r="F2" s="320"/>
      <c r="H2" s="317"/>
      <c r="I2" s="318" t="s">
        <v>364</v>
      </c>
      <c r="J2" s="319"/>
      <c r="K2" s="319"/>
      <c r="L2" s="319"/>
      <c r="M2" s="320"/>
      <c r="N2" s="321"/>
      <c r="O2" s="317"/>
      <c r="P2" s="318" t="s">
        <v>366</v>
      </c>
      <c r="Q2" s="319"/>
      <c r="R2" s="319"/>
      <c r="S2" s="319"/>
      <c r="T2" s="320"/>
      <c r="V2" s="317"/>
      <c r="Y2" s="318" t="s">
        <v>306</v>
      </c>
      <c r="Z2" s="319"/>
      <c r="AA2" s="319"/>
      <c r="AB2" s="319"/>
      <c r="AC2" s="320"/>
      <c r="AD2" s="321"/>
    </row>
    <row r="3" spans="1:30" ht="20.100000000000001" customHeight="1">
      <c r="A3" s="317"/>
      <c r="H3" s="317"/>
      <c r="N3" s="321"/>
      <c r="O3" s="317"/>
      <c r="V3" s="317"/>
      <c r="AD3" s="321"/>
    </row>
    <row r="4" spans="1:30" ht="20.100000000000001" customHeight="1">
      <c r="A4" s="317"/>
      <c r="B4" s="345" t="s">
        <v>307</v>
      </c>
      <c r="C4" s="710">
        <v>1</v>
      </c>
      <c r="H4" s="317"/>
      <c r="J4" s="316"/>
      <c r="K4" s="721" t="s">
        <v>308</v>
      </c>
      <c r="M4" s="722" t="s">
        <v>274</v>
      </c>
      <c r="N4" s="321"/>
      <c r="O4" s="317"/>
      <c r="P4" s="345" t="s">
        <v>307</v>
      </c>
      <c r="Q4" s="710">
        <v>2</v>
      </c>
      <c r="V4" s="317"/>
      <c r="AA4" s="721" t="s">
        <v>309</v>
      </c>
      <c r="AC4" s="722" t="s">
        <v>274</v>
      </c>
      <c r="AD4" s="321"/>
    </row>
    <row r="5" spans="1:30" ht="20.100000000000001" customHeight="1">
      <c r="A5" s="317"/>
      <c r="B5" s="367" t="s">
        <v>310</v>
      </c>
      <c r="C5" s="724" t="s">
        <v>233</v>
      </c>
      <c r="H5" s="317"/>
      <c r="J5" s="327" t="s">
        <v>233</v>
      </c>
      <c r="K5" s="331">
        <v>10.625227286048375</v>
      </c>
      <c r="L5" s="368" t="s">
        <v>157</v>
      </c>
      <c r="M5" s="339">
        <f>K5*POWER((K9*$J$9/200),K6)</f>
        <v>45.684765711612336</v>
      </c>
      <c r="N5" s="321"/>
      <c r="O5" s="317"/>
      <c r="P5" s="367" t="s">
        <v>311</v>
      </c>
      <c r="Q5" s="725" t="str">
        <f>IF(Q4=1,"a",IF(Q4=2,"b","c"))</f>
        <v>b</v>
      </c>
      <c r="V5" s="317"/>
      <c r="Z5" s="327" t="s">
        <v>233</v>
      </c>
      <c r="AA5" s="331">
        <v>9.3208216866788973</v>
      </c>
      <c r="AB5" s="368" t="s">
        <v>157</v>
      </c>
      <c r="AC5" s="339">
        <f>AA5+AA6*(AA10*Z10/200)+AA7*POWER((AA10*Z10/200),2)</f>
        <v>29.495052380145104</v>
      </c>
      <c r="AD5" s="321"/>
    </row>
    <row r="6" spans="1:30" ht="20.100000000000001" customHeight="1">
      <c r="A6" s="317"/>
      <c r="H6" s="317"/>
      <c r="J6" s="327" t="s">
        <v>234</v>
      </c>
      <c r="K6" s="331">
        <v>0.70140648469761535</v>
      </c>
      <c r="N6" s="321"/>
      <c r="O6" s="317"/>
      <c r="V6" s="317"/>
      <c r="Z6" s="327" t="s">
        <v>234</v>
      </c>
      <c r="AA6" s="331">
        <v>5.3866466914434028</v>
      </c>
      <c r="AD6" s="321"/>
    </row>
    <row r="7" spans="1:30" ht="20.100000000000001" customHeight="1" thickBot="1">
      <c r="A7" s="317"/>
      <c r="H7" s="317"/>
      <c r="J7" s="369"/>
      <c r="N7" s="321"/>
      <c r="O7" s="317"/>
      <c r="V7" s="317"/>
      <c r="Z7" s="327" t="s">
        <v>312</v>
      </c>
      <c r="AA7" s="331">
        <v>0.25255658662959968</v>
      </c>
      <c r="AD7" s="321"/>
    </row>
    <row r="8" spans="1:30" ht="20.100000000000001" customHeight="1" thickBot="1">
      <c r="A8" s="317"/>
      <c r="B8" s="370" t="s">
        <v>313</v>
      </c>
      <c r="C8" s="371" t="s">
        <v>233</v>
      </c>
      <c r="D8" s="372" t="s">
        <v>234</v>
      </c>
      <c r="E8" s="374" t="s">
        <v>312</v>
      </c>
      <c r="F8" s="373" t="s">
        <v>314</v>
      </c>
      <c r="H8" s="317"/>
      <c r="I8" s="375" t="s">
        <v>153</v>
      </c>
      <c r="J8" s="376" t="s">
        <v>315</v>
      </c>
      <c r="K8" s="377" t="s">
        <v>316</v>
      </c>
      <c r="L8" s="377" t="s">
        <v>317</v>
      </c>
      <c r="M8" s="378" t="s">
        <v>157</v>
      </c>
      <c r="N8" s="321"/>
      <c r="O8" s="317"/>
      <c r="P8" s="370" t="s">
        <v>313</v>
      </c>
      <c r="Q8" s="371" t="s">
        <v>233</v>
      </c>
      <c r="R8" s="372" t="s">
        <v>234</v>
      </c>
      <c r="S8" s="371" t="s">
        <v>312</v>
      </c>
      <c r="T8" s="373" t="s">
        <v>314</v>
      </c>
      <c r="V8" s="317"/>
      <c r="AD8" s="321"/>
    </row>
    <row r="9" spans="1:30" ht="20.100000000000001" customHeight="1" thickBot="1">
      <c r="A9" s="317"/>
      <c r="B9" s="316" t="s">
        <v>319</v>
      </c>
      <c r="C9" s="355">
        <v>1</v>
      </c>
      <c r="D9" s="381">
        <v>2</v>
      </c>
      <c r="E9" s="362">
        <v>3.0666666666666669</v>
      </c>
      <c r="F9" s="380">
        <v>1.7373737373737375</v>
      </c>
      <c r="H9" s="317"/>
      <c r="I9" s="316" t="s">
        <v>30</v>
      </c>
      <c r="J9" s="355">
        <v>4</v>
      </c>
      <c r="K9" s="355">
        <v>400</v>
      </c>
      <c r="L9" s="405">
        <f>M9/(K9/200)/J9</f>
        <v>5.710595713951542</v>
      </c>
      <c r="M9" s="362">
        <f>M5</f>
        <v>45.684765711612336</v>
      </c>
      <c r="N9" s="321"/>
      <c r="O9" s="317"/>
      <c r="P9" s="316" t="s">
        <v>320</v>
      </c>
      <c r="Q9" s="355">
        <v>1</v>
      </c>
      <c r="R9" s="355">
        <v>2</v>
      </c>
      <c r="S9" s="362">
        <v>3.40625</v>
      </c>
      <c r="T9" s="380">
        <v>2.2244897959183674</v>
      </c>
      <c r="V9" s="317"/>
      <c r="Y9" s="375" t="s">
        <v>153</v>
      </c>
      <c r="Z9" s="376" t="s">
        <v>315</v>
      </c>
      <c r="AA9" s="377" t="s">
        <v>316</v>
      </c>
      <c r="AB9" s="377" t="s">
        <v>317</v>
      </c>
      <c r="AC9" s="378" t="s">
        <v>157</v>
      </c>
      <c r="AD9" s="321"/>
    </row>
    <row r="10" spans="1:30" ht="20.100000000000001" customHeight="1" thickBot="1">
      <c r="A10" s="317"/>
      <c r="B10" s="316" t="s">
        <v>318</v>
      </c>
      <c r="C10" s="355">
        <v>42</v>
      </c>
      <c r="D10" s="355">
        <v>42</v>
      </c>
      <c r="E10" s="355">
        <v>15</v>
      </c>
      <c r="F10" s="379">
        <f>SUM(C10:E10)</f>
        <v>99</v>
      </c>
      <c r="H10" s="317"/>
      <c r="N10" s="321"/>
      <c r="O10" s="317"/>
      <c r="P10" s="316" t="s">
        <v>318</v>
      </c>
      <c r="Q10" s="355">
        <v>23</v>
      </c>
      <c r="R10" s="355">
        <v>43</v>
      </c>
      <c r="S10" s="355">
        <v>32</v>
      </c>
      <c r="T10" s="379">
        <v>98</v>
      </c>
      <c r="V10" s="317"/>
      <c r="Y10" s="316" t="s">
        <v>321</v>
      </c>
      <c r="Z10" s="355">
        <v>2</v>
      </c>
      <c r="AA10" s="355">
        <f>AVERAGE(300,350)</f>
        <v>325</v>
      </c>
      <c r="AB10" s="362">
        <f>AC10/(Z10*(AA10/200))</f>
        <v>9.0754007323523389</v>
      </c>
      <c r="AC10" s="362">
        <f>AC5</f>
        <v>29.495052380145104</v>
      </c>
      <c r="AD10" s="321"/>
    </row>
    <row r="11" spans="1:30" ht="20.100000000000001" customHeight="1" thickBot="1">
      <c r="A11" s="317"/>
      <c r="B11" s="613" t="s">
        <v>322</v>
      </c>
      <c r="C11" s="339">
        <v>34.717544732340649</v>
      </c>
      <c r="D11" s="339">
        <v>46.162622474316812</v>
      </c>
      <c r="E11" s="383">
        <v>64.400634920634914</v>
      </c>
      <c r="F11" s="384">
        <v>44.070470166556952</v>
      </c>
      <c r="H11" s="317"/>
      <c r="I11" s="375" t="s">
        <v>31</v>
      </c>
      <c r="J11" s="377" t="s">
        <v>278</v>
      </c>
      <c r="K11" s="377" t="s">
        <v>323</v>
      </c>
      <c r="L11" s="385" t="s">
        <v>324</v>
      </c>
      <c r="M11" s="386" t="s">
        <v>325</v>
      </c>
      <c r="N11" s="321"/>
      <c r="O11" s="317"/>
      <c r="P11" s="613" t="s">
        <v>322</v>
      </c>
      <c r="Q11" s="339">
        <v>26.66927571205132</v>
      </c>
      <c r="R11" s="382">
        <v>47.271469953894098</v>
      </c>
      <c r="S11" s="383">
        <v>85.435420101344533</v>
      </c>
      <c r="T11" s="384">
        <v>54.897959108547468</v>
      </c>
      <c r="V11" s="317"/>
      <c r="AD11" s="321"/>
    </row>
    <row r="12" spans="1:30" ht="20.100000000000001" customHeight="1" thickBot="1">
      <c r="A12" s="317"/>
      <c r="B12" s="316" t="s">
        <v>326</v>
      </c>
      <c r="C12" s="354">
        <f>C11/C9</f>
        <v>34.717544732340649</v>
      </c>
      <c r="D12" s="425">
        <f>D11/D9</f>
        <v>23.081311237158406</v>
      </c>
      <c r="E12" s="354">
        <f>E11/E9</f>
        <v>21.000207039337472</v>
      </c>
      <c r="F12" s="387">
        <f>F11/F9</f>
        <v>25.36614271214615</v>
      </c>
      <c r="H12" s="317"/>
      <c r="I12" s="316" t="s">
        <v>327</v>
      </c>
      <c r="J12" s="355" t="s">
        <v>328</v>
      </c>
      <c r="K12" s="388">
        <v>0.2</v>
      </c>
      <c r="L12" s="388">
        <v>2.2857142857142856</v>
      </c>
      <c r="M12" s="388">
        <f>K12*L12</f>
        <v>0.45714285714285713</v>
      </c>
      <c r="N12" s="389"/>
      <c r="O12" s="317"/>
      <c r="P12" s="316" t="s">
        <v>329</v>
      </c>
      <c r="Q12" s="354">
        <f>Q11/Q9</f>
        <v>26.66927571205132</v>
      </c>
      <c r="R12" s="354">
        <f>R11/R9</f>
        <v>23.635734976947049</v>
      </c>
      <c r="S12" s="354">
        <f>S11/S9</f>
        <v>25.081958194890138</v>
      </c>
      <c r="T12" s="387">
        <f>T11/T9</f>
        <v>24.678899048796566</v>
      </c>
      <c r="V12" s="317"/>
      <c r="Y12" s="375" t="s">
        <v>31</v>
      </c>
      <c r="Z12" s="377" t="s">
        <v>278</v>
      </c>
      <c r="AA12" s="377" t="s">
        <v>323</v>
      </c>
      <c r="AB12" s="385" t="s">
        <v>324</v>
      </c>
      <c r="AC12" s="386" t="s">
        <v>325</v>
      </c>
      <c r="AD12" s="321"/>
    </row>
    <row r="13" spans="1:30" ht="20.100000000000001" customHeight="1" thickBot="1">
      <c r="A13" s="317"/>
      <c r="H13" s="317"/>
      <c r="I13" s="316" t="s">
        <v>330</v>
      </c>
      <c r="J13" s="355" t="s">
        <v>331</v>
      </c>
      <c r="K13" s="388">
        <v>0.4</v>
      </c>
      <c r="L13" s="388">
        <v>1.7142857142857142</v>
      </c>
      <c r="M13" s="388">
        <f t="shared" ref="M13" si="0">K13*L13</f>
        <v>0.68571428571428572</v>
      </c>
      <c r="N13" s="321"/>
      <c r="O13" s="317"/>
      <c r="V13" s="317"/>
      <c r="W13" s="735">
        <f>'BASE(1)'!U11</f>
        <v>1</v>
      </c>
      <c r="Y13" s="316" t="s">
        <v>332</v>
      </c>
      <c r="Z13" s="355" t="s">
        <v>331</v>
      </c>
      <c r="AA13" s="362">
        <v>2</v>
      </c>
      <c r="AB13" s="355">
        <f>Z10</f>
        <v>2</v>
      </c>
      <c r="AC13" s="388">
        <f>IF(W13=2,0,AA13*AB13)</f>
        <v>4</v>
      </c>
      <c r="AD13" s="321"/>
    </row>
    <row r="14" spans="1:30" ht="20.100000000000001" customHeight="1">
      <c r="A14" s="317"/>
      <c r="B14" s="720" t="s">
        <v>275</v>
      </c>
      <c r="H14" s="317"/>
      <c r="I14" s="332" t="s">
        <v>20</v>
      </c>
      <c r="J14" s="390" t="s">
        <v>331</v>
      </c>
      <c r="K14" s="391">
        <v>0.28999999999999998</v>
      </c>
      <c r="L14" s="391">
        <v>4</v>
      </c>
      <c r="M14" s="392">
        <f>K14*L14*(K9/200)</f>
        <v>2.3199999999999998</v>
      </c>
      <c r="N14" s="321"/>
      <c r="O14" s="317"/>
      <c r="P14" s="720" t="s">
        <v>275</v>
      </c>
      <c r="R14" s="712" t="s">
        <v>333</v>
      </c>
      <c r="S14" s="712"/>
      <c r="T14" s="713" t="s">
        <v>329</v>
      </c>
      <c r="V14" s="317"/>
      <c r="Y14" s="316" t="s">
        <v>502</v>
      </c>
      <c r="Z14" s="355" t="s">
        <v>331</v>
      </c>
      <c r="AA14" s="362">
        <v>2</v>
      </c>
      <c r="AB14" s="355">
        <v>2</v>
      </c>
      <c r="AC14" s="388">
        <f>IF(W13=1,0,AA14*AB14)</f>
        <v>0</v>
      </c>
      <c r="AD14" s="321"/>
    </row>
    <row r="15" spans="1:30" ht="20.100000000000001" customHeight="1" thickBot="1">
      <c r="A15" s="317"/>
      <c r="B15" s="341" t="s">
        <v>334</v>
      </c>
      <c r="H15" s="317"/>
      <c r="I15" s="316" t="s">
        <v>335</v>
      </c>
      <c r="J15" s="355" t="s">
        <v>331</v>
      </c>
      <c r="K15" s="388">
        <v>0.4</v>
      </c>
      <c r="L15" s="388">
        <v>1.1428571428571428</v>
      </c>
      <c r="M15" s="388">
        <f t="shared" ref="M15:M21" si="1">K15*L15</f>
        <v>0.45714285714285713</v>
      </c>
      <c r="N15" s="321"/>
      <c r="O15" s="317"/>
      <c r="P15" s="341" t="s">
        <v>336</v>
      </c>
      <c r="R15" s="396" t="s">
        <v>50</v>
      </c>
      <c r="S15" s="396"/>
      <c r="T15" s="397">
        <v>28.915275368243432</v>
      </c>
      <c r="V15" s="317"/>
      <c r="Y15" s="329" t="s">
        <v>20</v>
      </c>
      <c r="Z15" s="393" t="s">
        <v>331</v>
      </c>
      <c r="AA15" s="394">
        <v>0.12796874999999999</v>
      </c>
      <c r="AB15" s="393">
        <f>Z10</f>
        <v>2</v>
      </c>
      <c r="AC15" s="395">
        <f>AA15*AB15*(AA10/200)</f>
        <v>0.4158984375</v>
      </c>
      <c r="AD15" s="321"/>
    </row>
    <row r="16" spans="1:30" ht="20.100000000000001" customHeight="1" thickBot="1">
      <c r="A16" s="317"/>
      <c r="H16" s="317"/>
      <c r="I16" s="316" t="s">
        <v>504</v>
      </c>
      <c r="J16" s="355" t="s">
        <v>331</v>
      </c>
      <c r="K16" s="388">
        <v>1</v>
      </c>
      <c r="L16" s="388">
        <v>0.5714285714285714</v>
      </c>
      <c r="M16" s="388">
        <f t="shared" si="1"/>
        <v>0.5714285714285714</v>
      </c>
      <c r="N16" s="321"/>
      <c r="O16" s="317"/>
      <c r="R16" s="396" t="s">
        <v>124</v>
      </c>
      <c r="S16" s="396"/>
      <c r="T16" s="397">
        <v>18.199581425533566</v>
      </c>
      <c r="V16" s="317"/>
      <c r="AA16" s="352" t="s">
        <v>337</v>
      </c>
      <c r="AC16" s="352" t="s">
        <v>337</v>
      </c>
      <c r="AD16" s="321"/>
    </row>
    <row r="17" spans="1:30" ht="20.100000000000001" customHeight="1" thickBot="1">
      <c r="A17" s="317"/>
      <c r="B17" s="720" t="s">
        <v>275</v>
      </c>
      <c r="H17" s="317"/>
      <c r="I17" s="316" t="s">
        <v>338</v>
      </c>
      <c r="J17" s="355" t="s">
        <v>328</v>
      </c>
      <c r="K17" s="388">
        <v>1</v>
      </c>
      <c r="L17" s="388">
        <v>0.5714285714285714</v>
      </c>
      <c r="M17" s="388">
        <f t="shared" si="1"/>
        <v>0.5714285714285714</v>
      </c>
      <c r="N17" s="321"/>
      <c r="O17" s="317"/>
      <c r="P17" s="720" t="s">
        <v>275</v>
      </c>
      <c r="V17" s="317"/>
      <c r="AD17" s="321"/>
    </row>
    <row r="18" spans="1:30" ht="20.100000000000001" customHeight="1" thickBot="1">
      <c r="A18" s="317"/>
      <c r="B18" s="341" t="s">
        <v>339</v>
      </c>
      <c r="H18" s="317"/>
      <c r="I18" s="316" t="s">
        <v>340</v>
      </c>
      <c r="J18" s="355" t="s">
        <v>331</v>
      </c>
      <c r="K18" s="388">
        <v>0.4</v>
      </c>
      <c r="L18" s="388">
        <v>0.5714285714285714</v>
      </c>
      <c r="M18" s="388">
        <f t="shared" si="1"/>
        <v>0.22857142857142856</v>
      </c>
      <c r="N18" s="321"/>
      <c r="O18" s="317"/>
      <c r="P18" s="341" t="s">
        <v>341</v>
      </c>
      <c r="V18" s="317"/>
      <c r="Y18" s="720" t="s">
        <v>275</v>
      </c>
      <c r="AA18" s="720" t="s">
        <v>275</v>
      </c>
      <c r="AD18" s="321"/>
    </row>
    <row r="19" spans="1:30" ht="20.100000000000001" customHeight="1" thickBot="1">
      <c r="A19" s="328"/>
      <c r="B19" s="329"/>
      <c r="C19" s="329"/>
      <c r="D19" s="329"/>
      <c r="E19" s="329"/>
      <c r="F19" s="329"/>
      <c r="G19" s="329"/>
      <c r="H19" s="317"/>
      <c r="I19" s="316" t="s">
        <v>343</v>
      </c>
      <c r="J19" s="355" t="s">
        <v>331</v>
      </c>
      <c r="K19" s="388">
        <v>1</v>
      </c>
      <c r="L19" s="388">
        <v>1.1428571428571428</v>
      </c>
      <c r="M19" s="388">
        <f t="shared" si="1"/>
        <v>1.1428571428571428</v>
      </c>
      <c r="N19" s="321"/>
      <c r="O19" s="328"/>
      <c r="P19" s="329"/>
      <c r="Q19" s="329"/>
      <c r="R19" s="329"/>
      <c r="S19" s="329"/>
      <c r="T19" s="329"/>
      <c r="U19" s="329"/>
      <c r="V19" s="317"/>
      <c r="Y19" s="341" t="s">
        <v>336</v>
      </c>
      <c r="AA19" s="341" t="s">
        <v>342</v>
      </c>
      <c r="AD19" s="321"/>
    </row>
    <row r="20" spans="1:30" ht="20.100000000000001" customHeight="1" thickBot="1">
      <c r="H20" s="317"/>
      <c r="I20" s="316" t="s">
        <v>344</v>
      </c>
      <c r="J20" s="355" t="s">
        <v>345</v>
      </c>
      <c r="K20" s="388">
        <v>1</v>
      </c>
      <c r="L20" s="388">
        <v>1.1428571428571428</v>
      </c>
      <c r="M20" s="388">
        <f t="shared" si="1"/>
        <v>1.1428571428571428</v>
      </c>
      <c r="N20" s="321"/>
      <c r="V20" s="328"/>
      <c r="W20" s="329"/>
      <c r="X20" s="329"/>
      <c r="Y20" s="329"/>
      <c r="Z20" s="329"/>
      <c r="AA20" s="329"/>
      <c r="AB20" s="329"/>
      <c r="AC20" s="329"/>
      <c r="AD20" s="330"/>
    </row>
    <row r="21" spans="1:30" ht="20.100000000000001" customHeight="1" thickBot="1">
      <c r="H21" s="317"/>
      <c r="I21" s="329" t="s">
        <v>346</v>
      </c>
      <c r="J21" s="393" t="s">
        <v>331</v>
      </c>
      <c r="K21" s="393">
        <f>K9</f>
        <v>400</v>
      </c>
      <c r="L21" s="393">
        <v>4</v>
      </c>
      <c r="M21" s="398">
        <f t="shared" si="1"/>
        <v>1600</v>
      </c>
      <c r="N21" s="321"/>
      <c r="P21" s="388"/>
      <c r="Q21" s="404"/>
    </row>
    <row r="22" spans="1:30" ht="20.100000000000001" customHeight="1">
      <c r="H22" s="317"/>
      <c r="K22" s="713" t="s">
        <v>337</v>
      </c>
      <c r="M22" s="713" t="s">
        <v>337</v>
      </c>
      <c r="N22" s="321"/>
      <c r="P22" s="388"/>
      <c r="Q22" s="404"/>
    </row>
    <row r="23" spans="1:30" ht="20.100000000000001" customHeight="1" thickBot="1">
      <c r="H23" s="317"/>
      <c r="N23" s="321"/>
    </row>
    <row r="24" spans="1:30" ht="20.100000000000001" customHeight="1" thickBot="1">
      <c r="H24" s="317"/>
      <c r="I24" s="720" t="s">
        <v>275</v>
      </c>
      <c r="K24" s="399" t="s">
        <v>347</v>
      </c>
      <c r="L24" s="400" t="s">
        <v>348</v>
      </c>
      <c r="M24" s="401"/>
      <c r="N24" s="321"/>
      <c r="P24" s="388"/>
      <c r="Q24" s="404"/>
    </row>
    <row r="25" spans="1:30" ht="20.100000000000001" customHeight="1" thickBot="1">
      <c r="H25" s="317"/>
      <c r="I25" s="341" t="s">
        <v>349</v>
      </c>
      <c r="K25" s="325" t="s">
        <v>350</v>
      </c>
      <c r="L25" s="325" t="s">
        <v>351</v>
      </c>
      <c r="N25" s="321"/>
      <c r="P25" s="388"/>
      <c r="Q25" s="404"/>
    </row>
    <row r="26" spans="1:30" ht="20.100000000000001" customHeight="1" thickBot="1">
      <c r="H26" s="317"/>
      <c r="I26" s="402"/>
      <c r="K26" s="325" t="s">
        <v>352</v>
      </c>
      <c r="L26" s="325" t="s">
        <v>353</v>
      </c>
      <c r="N26" s="321"/>
      <c r="P26" s="388"/>
      <c r="Q26" s="404"/>
    </row>
    <row r="27" spans="1:30" ht="20.100000000000001" customHeight="1">
      <c r="H27" s="317"/>
      <c r="I27" s="720" t="s">
        <v>275</v>
      </c>
      <c r="K27" s="325" t="s">
        <v>354</v>
      </c>
      <c r="L27" s="325" t="s">
        <v>355</v>
      </c>
      <c r="N27" s="321"/>
      <c r="P27" s="388"/>
      <c r="Q27" s="404"/>
    </row>
    <row r="28" spans="1:30" ht="20.100000000000001" customHeight="1" thickBot="1">
      <c r="H28" s="317"/>
      <c r="I28" s="341" t="s">
        <v>356</v>
      </c>
      <c r="K28" s="403" t="s">
        <v>354</v>
      </c>
      <c r="L28" s="329" t="s">
        <v>357</v>
      </c>
      <c r="M28" s="329"/>
      <c r="N28" s="321"/>
      <c r="P28" s="388"/>
      <c r="Q28" s="404"/>
    </row>
    <row r="29" spans="1:30" ht="20.100000000000001" customHeight="1" thickBot="1">
      <c r="H29" s="328"/>
      <c r="I29" s="329"/>
      <c r="J29" s="393"/>
      <c r="K29" s="393"/>
      <c r="L29" s="329"/>
      <c r="M29" s="329"/>
      <c r="N29" s="330"/>
      <c r="P29" s="388"/>
      <c r="Q29" s="404"/>
    </row>
    <row r="30" spans="1:30" ht="20.100000000000001" customHeight="1">
      <c r="P30" s="388"/>
      <c r="Q30" s="404"/>
    </row>
  </sheetData>
  <sheetProtection algorithmName="SHA-512" hashValue="8wdLU/amyaQuftcQ4teQLMh4tLqxNWNvpa/Ke2gboVZ743uhsvy764SrcBKYtzjrpYn6goX1XHJDJlK+tOD2Uw==" saltValue="tbHadqO/PMzKnkXmLecp4g==" spinCount="100000" sheet="1" objects="1" scenarios="1"/>
  <conditionalFormatting sqref="C8:F8">
    <cfRule type="cellIs" dxfId="9" priority="6" operator="equal">
      <formula>$C$5</formula>
    </cfRule>
  </conditionalFormatting>
  <conditionalFormatting sqref="Q8:S8">
    <cfRule type="cellIs" dxfId="8" priority="5" operator="equal">
      <formula>$Q$5</formula>
    </cfRule>
  </conditionalFormatting>
  <conditionalFormatting sqref="T8">
    <cfRule type="cellIs" dxfId="7" priority="4" operator="equal">
      <formula>#REF!</formula>
    </cfRule>
  </conditionalFormatting>
  <conditionalFormatting sqref="Y13">
    <cfRule type="expression" dxfId="6" priority="3">
      <formula>$W$13=2</formula>
    </cfRule>
  </conditionalFormatting>
  <conditionalFormatting sqref="Y14">
    <cfRule type="expression" dxfId="5" priority="2">
      <formula>$W$13=1</formula>
    </cfRule>
  </conditionalFormatting>
  <conditionalFormatting sqref="AC13:AC14">
    <cfRule type="cellIs" dxfId="4" priority="1" operator="equal">
      <formula>0</formula>
    </cfRule>
  </conditionalFormatting>
  <dataValidations count="2">
    <dataValidation type="whole" allowBlank="1" showInputMessage="1" showErrorMessage="1" error="Digite un número ENTERO entre 1 y 3." sqref="C4 Q4" xr:uid="{8230C6C0-DDCE-48E4-BFA7-5D441D5EBC61}">
      <formula1>1</formula1>
      <formula2>3</formula2>
    </dataValidation>
    <dataValidation type="whole" allowBlank="1" showInputMessage="1" showErrorMessage="1" error="Digite un número ENTERO entre 1 y 2, para indicar el herbicida usado:_x000a_(1) Glifosato 35.6 SL._x000a_(2) Glifosinato 15 SL." sqref="W13" xr:uid="{788E20EF-BD00-4F7B-B8BF-5C82CBFB9598}">
      <formula1>1</formula1>
      <formula2>2</formula2>
    </dataValidation>
  </dataValidations>
  <hyperlinks>
    <hyperlink ref="B14" r:id="rId1" xr:uid="{D31B313A-2C48-4EC1-9AC5-FBBE6F4B68D0}"/>
    <hyperlink ref="B17" r:id="rId2" xr:uid="{41DE01F1-3F83-42A0-A095-7A4D0019EC48}"/>
    <hyperlink ref="P14" r:id="rId3" xr:uid="{9167C310-91DD-4433-A222-A5A33684437C}"/>
    <hyperlink ref="P17" r:id="rId4" xr:uid="{66AA1F16-A330-48EE-A781-47D134C6D8C8}"/>
    <hyperlink ref="Y18" r:id="rId5" xr:uid="{30819EE7-C3CF-40F7-B64A-BB42CE563E40}"/>
    <hyperlink ref="AA18" r:id="rId6" xr:uid="{4D6C2EC4-5E7E-46C7-AEDF-814580F850E7}"/>
    <hyperlink ref="I27" r:id="rId7" xr:uid="{3D72B0A0-0DEE-4236-BDC0-DF5F6E6D6CA9}"/>
    <hyperlink ref="I24" r:id="rId8" xr:uid="{543F5627-836E-48AB-BD95-01F1AEBEF90D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scale="85" orientation="landscape" r:id="rId9"/>
  <colBreaks count="1" manualBreakCount="1">
    <brk id="14" max="1048575" man="1"/>
  </col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8"/>
  </sheetPr>
  <dimension ref="A1:V33"/>
  <sheetViews>
    <sheetView showGridLines="0" zoomScale="97" workbookViewId="0">
      <selection sqref="A1:K33"/>
    </sheetView>
  </sheetViews>
  <sheetFormatPr baseColWidth="10" defaultRowHeight="12.75"/>
  <cols>
    <col min="1" max="1" width="25.140625" customWidth="1"/>
    <col min="2" max="2" width="9.42578125" bestFit="1" customWidth="1"/>
    <col min="3" max="3" width="7.5703125" bestFit="1" customWidth="1"/>
    <col min="4" max="4" width="3.28515625" customWidth="1"/>
    <col min="5" max="5" width="24" customWidth="1"/>
    <col min="6" max="6" width="10.42578125" bestFit="1" customWidth="1"/>
    <col min="7" max="7" width="9.85546875" customWidth="1"/>
    <col min="8" max="8" width="7.42578125" customWidth="1"/>
    <col min="9" max="9" width="24.85546875" bestFit="1" customWidth="1"/>
    <col min="10" max="10" width="12.5703125" customWidth="1"/>
    <col min="11" max="11" width="10.85546875" bestFit="1" customWidth="1"/>
    <col min="12" max="12" width="3.5703125" customWidth="1"/>
    <col min="13" max="14" width="7.5703125" bestFit="1" customWidth="1"/>
    <col min="15" max="18" width="10.28515625" customWidth="1"/>
    <col min="19" max="20" width="6" bestFit="1" customWidth="1"/>
    <col min="21" max="22" width="6.42578125" style="556" customWidth="1"/>
  </cols>
  <sheetData>
    <row r="1" spans="1:21" ht="19.5">
      <c r="A1" s="5"/>
      <c r="B1" s="5"/>
      <c r="C1" s="5"/>
      <c r="E1" s="429" t="s">
        <v>69</v>
      </c>
      <c r="F1" s="430"/>
      <c r="G1" s="430"/>
      <c r="H1" s="430"/>
      <c r="I1" s="430"/>
      <c r="J1" s="430"/>
      <c r="K1" s="430"/>
    </row>
    <row r="2" spans="1:21" ht="19.5">
      <c r="A2" s="5"/>
      <c r="B2" s="5"/>
      <c r="C2" s="5"/>
      <c r="E2" s="429" t="s">
        <v>70</v>
      </c>
      <c r="F2" s="430"/>
      <c r="G2" s="430"/>
      <c r="H2" s="430"/>
      <c r="I2" s="430"/>
      <c r="J2" s="430"/>
      <c r="K2" s="430"/>
    </row>
    <row r="3" spans="1:21" ht="18.75" thickBot="1">
      <c r="A3" s="686"/>
      <c r="B3" s="687" t="s">
        <v>158</v>
      </c>
      <c r="C3" s="687"/>
      <c r="E3" s="435"/>
      <c r="F3" s="436"/>
      <c r="G3" s="436"/>
      <c r="H3" s="435"/>
      <c r="I3" s="435"/>
      <c r="J3" s="435"/>
      <c r="K3" s="435"/>
    </row>
    <row r="4" spans="1:21" ht="18.75" thickBot="1">
      <c r="A4" s="688" t="s">
        <v>153</v>
      </c>
      <c r="B4" s="689" t="s">
        <v>21</v>
      </c>
      <c r="C4" s="689" t="s">
        <v>22</v>
      </c>
      <c r="E4" s="435"/>
      <c r="F4" s="437" t="s">
        <v>21</v>
      </c>
      <c r="G4" s="437" t="s">
        <v>22</v>
      </c>
      <c r="H4" s="435"/>
      <c r="I4" s="438" t="s">
        <v>40</v>
      </c>
      <c r="J4" s="435"/>
      <c r="K4" s="439" t="s">
        <v>131</v>
      </c>
    </row>
    <row r="5" spans="1:21">
      <c r="A5" s="431"/>
      <c r="B5" s="431"/>
      <c r="C5" s="431"/>
      <c r="E5" s="440" t="s">
        <v>156</v>
      </c>
      <c r="F5" s="441">
        <f>B21</f>
        <v>894.59999999999991</v>
      </c>
      <c r="G5" s="442">
        <f>C21</f>
        <v>224</v>
      </c>
      <c r="H5" s="435"/>
      <c r="I5" s="443" t="s">
        <v>175</v>
      </c>
      <c r="J5" s="444">
        <f>Invent!J6</f>
        <v>453069.91495499993</v>
      </c>
      <c r="K5" s="445">
        <f>Invent!A6</f>
        <v>2.2200000000000001E-2</v>
      </c>
    </row>
    <row r="6" spans="1:21">
      <c r="A6" s="431" t="s">
        <v>146</v>
      </c>
      <c r="B6" s="431"/>
      <c r="C6" s="431"/>
      <c r="E6" s="443" t="s">
        <v>155</v>
      </c>
      <c r="F6" s="446">
        <v>6.3382361182239499</v>
      </c>
      <c r="G6" s="447"/>
      <c r="H6" s="435"/>
      <c r="I6" s="443" t="s">
        <v>176</v>
      </c>
      <c r="J6" s="444">
        <f>Invent!J10</f>
        <v>1630502.9692839999</v>
      </c>
      <c r="K6" s="448">
        <f>Invent!A10</f>
        <v>6.2799999999999995E-2</v>
      </c>
      <c r="N6" s="46" t="s">
        <v>500</v>
      </c>
    </row>
    <row r="7" spans="1:21">
      <c r="A7" s="432" t="s">
        <v>151</v>
      </c>
      <c r="B7" s="433">
        <f>61.8+92.9</f>
        <v>154.69999999999999</v>
      </c>
      <c r="C7" s="433" t="s">
        <v>49</v>
      </c>
      <c r="E7" s="443" t="s">
        <v>171</v>
      </c>
      <c r="F7" s="449">
        <f>IF(UNIT!Z1=1,UNIT!AD7,UNIT!AF7)</f>
        <v>1627.21</v>
      </c>
      <c r="G7" s="447"/>
      <c r="H7" s="435"/>
      <c r="I7" s="443" t="s">
        <v>177</v>
      </c>
      <c r="J7" s="444">
        <f>Invent!J15</f>
        <v>146947.47160399999</v>
      </c>
      <c r="K7" s="448">
        <f>Invent!A15</f>
        <v>2.3599999999999999E-2</v>
      </c>
      <c r="N7" s="734">
        <v>1</v>
      </c>
      <c r="U7" s="557"/>
    </row>
    <row r="8" spans="1:21" ht="13.5" thickBot="1">
      <c r="A8" s="432" t="s">
        <v>152</v>
      </c>
      <c r="B8" s="433">
        <f>ROUND(42.7+AVERAGE(300,400)*569.88/(1262.51),1)</f>
        <v>200.7</v>
      </c>
      <c r="C8" s="433" t="s">
        <v>49</v>
      </c>
      <c r="E8" s="443" t="s">
        <v>3</v>
      </c>
      <c r="F8" s="450">
        <f>IF(N8="11",UNIT!AD8,IF(N8="12",UNIT!AD9,IF(N8="21",UNIT!AF8,UNIT!AF9)))</f>
        <v>0.4506</v>
      </c>
      <c r="G8" s="451"/>
      <c r="H8" s="435"/>
      <c r="I8" s="443" t="s">
        <v>178</v>
      </c>
      <c r="J8" s="444">
        <f>Invent!J21</f>
        <v>71213.957601000016</v>
      </c>
      <c r="K8" s="452">
        <f>Invent!A21</f>
        <v>9.4000000000000004E-3</v>
      </c>
      <c r="N8" s="6" t="str">
        <f>_xlfn.CONCAT(UNIT!Z1,N7)</f>
        <v>11</v>
      </c>
      <c r="U8" s="557"/>
    </row>
    <row r="9" spans="1:21">
      <c r="A9" s="431" t="s">
        <v>228</v>
      </c>
      <c r="B9" s="433">
        <f>167+41.3+ROUND(TECNICO!Q11,1)+7.6+117.9</f>
        <v>345.4</v>
      </c>
      <c r="C9" s="433" t="s">
        <v>49</v>
      </c>
      <c r="E9" s="443" t="s">
        <v>246</v>
      </c>
      <c r="F9" s="449">
        <f>IF(UNIT!Z1=1,UNIT!AD72*20,UNIT!AF72*20)</f>
        <v>30426.938000000002</v>
      </c>
      <c r="G9" s="435"/>
      <c r="H9" s="435"/>
      <c r="I9" s="453"/>
      <c r="J9" s="454"/>
      <c r="K9" s="454"/>
      <c r="U9" s="557"/>
    </row>
    <row r="10" spans="1:21">
      <c r="A10" s="431" t="s">
        <v>75</v>
      </c>
      <c r="B10" s="433">
        <f>IF(TECNICO!G4=2,0,44)</f>
        <v>44</v>
      </c>
      <c r="C10" s="433" t="s">
        <v>49</v>
      </c>
      <c r="E10" s="435"/>
      <c r="F10" s="435"/>
      <c r="G10" s="435"/>
      <c r="H10" s="435"/>
      <c r="I10" s="438" t="s">
        <v>41</v>
      </c>
      <c r="J10" s="454"/>
      <c r="K10" s="455"/>
      <c r="U10" s="557"/>
    </row>
    <row r="11" spans="1:21">
      <c r="A11" s="431" t="s">
        <v>76</v>
      </c>
      <c r="B11" s="433">
        <v>9.4</v>
      </c>
      <c r="C11" s="433" t="s">
        <v>49</v>
      </c>
      <c r="E11" s="435" t="s">
        <v>34</v>
      </c>
      <c r="F11" s="456">
        <f>TECNICO!C8</f>
        <v>5000</v>
      </c>
      <c r="G11" s="457"/>
      <c r="H11" s="435"/>
      <c r="I11" s="443" t="s">
        <v>186</v>
      </c>
      <c r="J11" s="458">
        <v>40</v>
      </c>
      <c r="K11" s="437" t="s">
        <v>235</v>
      </c>
      <c r="U11" s="557"/>
    </row>
    <row r="12" spans="1:21">
      <c r="A12" s="431" t="s">
        <v>95</v>
      </c>
      <c r="B12" s="433">
        <f>ROUND(TECNICO!Q12,1)</f>
        <v>19.899999999999999</v>
      </c>
      <c r="C12" s="433">
        <f>ROUND(TECNICO!Z8,1)</f>
        <v>25.9</v>
      </c>
      <c r="E12" s="435" t="s">
        <v>162</v>
      </c>
      <c r="F12" s="459">
        <f>IF(UNIT!Z1=1,UNIT!AD29,UNIT!AF29)</f>
        <v>294.9785</v>
      </c>
      <c r="G12" s="460"/>
      <c r="H12" s="435"/>
      <c r="I12" s="443" t="s">
        <v>42</v>
      </c>
      <c r="J12" s="458">
        <v>10</v>
      </c>
      <c r="K12" s="437" t="s">
        <v>236</v>
      </c>
      <c r="U12" s="557"/>
    </row>
    <row r="13" spans="1:21">
      <c r="A13" s="431" t="s">
        <v>229</v>
      </c>
      <c r="B13" s="433">
        <f>ROUND(0.1734*POWER(F21,0.6245),1)</f>
        <v>8.4</v>
      </c>
      <c r="C13" s="433" t="s">
        <v>49</v>
      </c>
      <c r="E13" s="435" t="s">
        <v>4</v>
      </c>
      <c r="F13" s="455"/>
      <c r="G13" s="461">
        <v>0.05</v>
      </c>
      <c r="H13" s="435"/>
      <c r="I13" s="457"/>
      <c r="J13" s="457"/>
      <c r="K13" s="457"/>
      <c r="U13" s="557"/>
    </row>
    <row r="14" spans="1:21">
      <c r="A14" s="431" t="s">
        <v>30</v>
      </c>
      <c r="B14" s="433">
        <f>ROUND('BASE(1)'!K5,1)</f>
        <v>23</v>
      </c>
      <c r="C14" s="433">
        <f>ROUND('BASE(2)'!M5,1)</f>
        <v>45.7</v>
      </c>
      <c r="E14" s="462" t="s">
        <v>370</v>
      </c>
      <c r="F14" s="435"/>
      <c r="G14" s="457"/>
      <c r="H14" s="435"/>
      <c r="I14" s="457"/>
      <c r="J14" s="463" t="s">
        <v>21</v>
      </c>
      <c r="K14" s="463" t="s">
        <v>22</v>
      </c>
      <c r="U14" s="557"/>
    </row>
    <row r="15" spans="1:21" ht="18.75">
      <c r="A15" s="431" t="s">
        <v>80</v>
      </c>
      <c r="B15" s="433" t="s">
        <v>49</v>
      </c>
      <c r="C15" s="433">
        <f>IF(TECNICO!G4=2,0,ROUND('BASE(2)'!D12,1))</f>
        <v>23.1</v>
      </c>
      <c r="E15" s="464" t="s">
        <v>392</v>
      </c>
      <c r="F15" s="465">
        <f>ROUND(AVERAGE('BASE(1)'!D7:D9),1)</f>
        <v>41.7</v>
      </c>
      <c r="G15" s="457"/>
      <c r="H15" s="435"/>
      <c r="I15" s="462" t="s">
        <v>37</v>
      </c>
      <c r="J15" s="466"/>
      <c r="K15" s="455"/>
      <c r="N15" s="729" t="s">
        <v>405</v>
      </c>
      <c r="O15" s="515" t="str">
        <f>_xlfn.CONCAT("  =&gt; Fincas de ",LOOKUP(N15,O20:R20,O23:R23)," ha")</f>
        <v xml:space="preserve">  =&gt; Fincas de 1.5 a 6.0 ha</v>
      </c>
      <c r="U15" s="557"/>
    </row>
    <row r="16" spans="1:21" ht="13.5" thickBot="1">
      <c r="A16" s="431" t="s">
        <v>394</v>
      </c>
      <c r="B16" s="433">
        <f>ROUND('BASE(1)'!Q12*3,1)</f>
        <v>75.2</v>
      </c>
      <c r="C16" s="433">
        <f>ROUND('BASE(2)'!R11,1)</f>
        <v>47.3</v>
      </c>
      <c r="E16" s="457"/>
      <c r="F16" s="457"/>
      <c r="G16" s="457"/>
      <c r="H16" s="435"/>
      <c r="I16" s="443" t="s">
        <v>231</v>
      </c>
      <c r="J16" s="467">
        <f>ROUND(SUM('BASE(1)'!K13,'BASE(1)'!K15,'BASE(1)'!K19),3)</f>
        <v>1.2</v>
      </c>
      <c r="K16" s="467">
        <f>ROUND(SUM('BASE(2)'!M13,'BASE(2)'!M15,'BASE(2)'!M19),3)</f>
        <v>2.286</v>
      </c>
      <c r="N16" s="740" t="s">
        <v>420</v>
      </c>
      <c r="O16" s="741"/>
      <c r="P16" s="741"/>
      <c r="Q16" s="741"/>
      <c r="R16" s="742"/>
      <c r="U16" s="557"/>
    </row>
    <row r="17" spans="1:22" ht="13.5" customHeight="1" thickBot="1">
      <c r="A17" s="431" t="s">
        <v>395</v>
      </c>
      <c r="B17" s="433">
        <f>ROUND('BASE(1)'!AA5,1)</f>
        <v>13.9</v>
      </c>
      <c r="C17" s="433">
        <f>ROUND('BASE(2)'!AC5,1)</f>
        <v>29.5</v>
      </c>
      <c r="E17" s="462" t="s">
        <v>36</v>
      </c>
      <c r="F17" s="463" t="s">
        <v>21</v>
      </c>
      <c r="G17" s="463" t="s">
        <v>22</v>
      </c>
      <c r="H17" s="435"/>
      <c r="I17" s="443" t="s">
        <v>358</v>
      </c>
      <c r="J17" s="467">
        <f>ROUND(SUM('BASE(1)'!K12,'BASE(1)'!K18),3)</f>
        <v>0.36</v>
      </c>
      <c r="K17" s="467">
        <f>ROUND(SUM('BASE(2)'!M12,'BASE(2)'!M18),3)</f>
        <v>0.68600000000000005</v>
      </c>
      <c r="N17" s="743"/>
      <c r="O17" s="744"/>
      <c r="P17" s="744"/>
      <c r="Q17" s="744"/>
      <c r="R17" s="745"/>
      <c r="U17" s="563" t="s">
        <v>209</v>
      </c>
      <c r="V17" s="564"/>
    </row>
    <row r="18" spans="1:22" ht="13.5" thickBot="1">
      <c r="A18" s="431" t="s">
        <v>225</v>
      </c>
      <c r="B18" s="433" t="s">
        <v>49</v>
      </c>
      <c r="C18" s="433">
        <f>ROUND(31.4000000000001,1)</f>
        <v>31.4</v>
      </c>
      <c r="E18" s="443" t="s">
        <v>172</v>
      </c>
      <c r="F18" s="468">
        <f>ROUND(TECNICO!N8,1)</f>
        <v>275</v>
      </c>
      <c r="G18" s="469"/>
      <c r="H18" s="435"/>
      <c r="I18" s="443" t="s">
        <v>359</v>
      </c>
      <c r="J18" s="467">
        <f>ROUND(SUM('BASE(1)'!K17,'BASE(1)'!K20),3)</f>
        <v>1.5</v>
      </c>
      <c r="K18" s="467">
        <f>ROUND(SUM('BASE(2)'!M17,'BASE(2)'!M20),3)</f>
        <v>1.714</v>
      </c>
      <c r="U18" s="210" t="s">
        <v>21</v>
      </c>
      <c r="V18" s="558" t="s">
        <v>22</v>
      </c>
    </row>
    <row r="19" spans="1:22" ht="13.5" thickBot="1">
      <c r="A19" s="431" t="s">
        <v>82</v>
      </c>
      <c r="B19" s="433" t="s">
        <v>49</v>
      </c>
      <c r="C19" s="433">
        <f>ROUND((5.07579462102689/60)*(F11*G13),1)</f>
        <v>21.1</v>
      </c>
      <c r="E19" s="443" t="s">
        <v>173</v>
      </c>
      <c r="F19" s="468">
        <f>ROUND(SUM(TECNICO!N18:P18),1)</f>
        <v>475</v>
      </c>
      <c r="G19" s="468">
        <f>ROUND(SUM(TECNICO!W11:Y11),1)</f>
        <v>825</v>
      </c>
      <c r="H19" s="435"/>
      <c r="I19" s="464" t="s">
        <v>505</v>
      </c>
      <c r="J19" s="467">
        <f>ROUND('BASE(1)'!K16,3)</f>
        <v>0.6</v>
      </c>
      <c r="K19" s="467">
        <f>ROUND('BASE(2)'!M16,3)</f>
        <v>0.57099999999999995</v>
      </c>
      <c r="U19" s="559">
        <f>F19/SUM(F19:F20)</f>
        <v>0.79166666666666663</v>
      </c>
      <c r="V19" s="560">
        <f>G19/SUM(G19:G20)</f>
        <v>0.7857142857142857</v>
      </c>
    </row>
    <row r="20" spans="1:22" ht="14.25" thickTop="1" thickBot="1">
      <c r="A20" s="431"/>
      <c r="B20" s="434"/>
      <c r="C20" s="434"/>
      <c r="E20" s="443" t="s">
        <v>174</v>
      </c>
      <c r="F20" s="468">
        <f>ROUND(TECNICO!N28,1)</f>
        <v>125</v>
      </c>
      <c r="G20" s="468">
        <f>ROUND(TECNICO!W19,1)</f>
        <v>225</v>
      </c>
      <c r="H20" s="435"/>
      <c r="I20" s="736" t="s">
        <v>506</v>
      </c>
      <c r="J20" s="470">
        <f>ROUND('BASE(1)'!K14,3)</f>
        <v>0.87</v>
      </c>
      <c r="K20" s="471">
        <f>ROUND('BASE(2)'!M14,3)</f>
        <v>2.3199999999999998</v>
      </c>
      <c r="N20" s="522"/>
      <c r="O20" s="553" t="s">
        <v>405</v>
      </c>
      <c r="P20" s="554" t="s">
        <v>406</v>
      </c>
      <c r="Q20" s="554" t="s">
        <v>407</v>
      </c>
      <c r="R20" s="555" t="s">
        <v>408</v>
      </c>
      <c r="U20" s="561">
        <f>1-U19</f>
        <v>0.20833333333333337</v>
      </c>
      <c r="V20" s="562">
        <f>1-V19</f>
        <v>0.2142857142857143</v>
      </c>
    </row>
    <row r="21" spans="1:22" ht="19.5" thickTop="1" thickBot="1">
      <c r="A21" s="688" t="s">
        <v>154</v>
      </c>
      <c r="B21" s="690">
        <f>SUM(B7:B20)</f>
        <v>894.59999999999991</v>
      </c>
      <c r="C21" s="690">
        <f>SUM(C7:C20)</f>
        <v>224</v>
      </c>
      <c r="E21" s="443" t="s">
        <v>230</v>
      </c>
      <c r="F21" s="468">
        <v>500</v>
      </c>
      <c r="G21" s="455"/>
      <c r="H21" s="435"/>
      <c r="I21" s="435"/>
      <c r="J21" s="455"/>
      <c r="K21" s="469"/>
      <c r="N21" s="522"/>
      <c r="O21" s="522"/>
      <c r="P21" s="522"/>
      <c r="Q21" s="522"/>
      <c r="R21" s="522"/>
    </row>
    <row r="22" spans="1:22" ht="13.5" thickBot="1">
      <c r="A22" s="10" t="s">
        <v>189</v>
      </c>
      <c r="E22" s="457"/>
      <c r="F22" s="457"/>
      <c r="G22" s="457"/>
      <c r="H22" s="435"/>
      <c r="I22" s="462" t="s">
        <v>38</v>
      </c>
      <c r="J22" s="455"/>
      <c r="K22" s="469"/>
      <c r="N22" s="537"/>
      <c r="O22" s="538" t="s">
        <v>409</v>
      </c>
      <c r="P22" s="539"/>
      <c r="Q22" s="539"/>
      <c r="R22" s="540"/>
    </row>
    <row r="23" spans="1:22" ht="13.5" thickBot="1">
      <c r="A23" s="171" t="s">
        <v>190</v>
      </c>
      <c r="E23" s="462" t="s">
        <v>35</v>
      </c>
      <c r="F23" s="447"/>
      <c r="G23" s="447"/>
      <c r="H23" s="435"/>
      <c r="I23" s="443" t="s">
        <v>39</v>
      </c>
      <c r="J23" s="467">
        <f>ROUND('BASE(1)'!AA11,3)</f>
        <v>2</v>
      </c>
      <c r="K23" s="467">
        <f>ROUND('BASE(2)'!AC13,3)</f>
        <v>4</v>
      </c>
      <c r="N23" s="541" t="s">
        <v>416</v>
      </c>
      <c r="O23" s="542" t="s">
        <v>410</v>
      </c>
      <c r="P23" s="543" t="s">
        <v>411</v>
      </c>
      <c r="Q23" s="543" t="s">
        <v>412</v>
      </c>
      <c r="R23" s="544" t="s">
        <v>413</v>
      </c>
    </row>
    <row r="24" spans="1:22">
      <c r="A24" s="10" t="s">
        <v>187</v>
      </c>
      <c r="E24" s="464" t="s">
        <v>421</v>
      </c>
      <c r="F24" s="446">
        <f>LOOKUP($N$15,$O$20:$R$20,O24:R24)</f>
        <v>14.318899999999999</v>
      </c>
      <c r="G24" s="472"/>
      <c r="H24" s="435"/>
      <c r="I24" s="464" t="s">
        <v>503</v>
      </c>
      <c r="J24" s="467">
        <f>ROUND('BASE(1)'!AA12,3)</f>
        <v>0</v>
      </c>
      <c r="K24" s="467">
        <f>ROUND('BASE(2)'!AC14,3)</f>
        <v>0</v>
      </c>
      <c r="N24" s="545" t="s">
        <v>414</v>
      </c>
      <c r="O24" s="546">
        <f>IF(UNIT!Z1=1,UNIT!$AD$55,UNIT!$AF$55)</f>
        <v>14.318899999999999</v>
      </c>
      <c r="P24" s="547">
        <f>IF(UNIT!Z1=1,UNIT!$AD$56,UNIT!$AF$56)</f>
        <v>10.0474</v>
      </c>
      <c r="Q24" s="547">
        <f>IF(UNIT!Z1=1,UNIT!$AD$57,UNIT!$AF$57)</f>
        <v>6.7161999999999997</v>
      </c>
      <c r="R24" s="548">
        <f>IF(UNIT!Z1=1,UNIT!$AD$58,UNIT!$AF$58)</f>
        <v>4.5156000000000001</v>
      </c>
    </row>
    <row r="25" spans="1:22">
      <c r="A25" s="171" t="s">
        <v>188</v>
      </c>
      <c r="B25" s="141"/>
      <c r="C25" s="142"/>
      <c r="E25" s="443" t="s">
        <v>162</v>
      </c>
      <c r="F25" s="446">
        <f>LOOKUP($N$15,$O$20:$R$20,O25:R25)</f>
        <v>25.816099999999999</v>
      </c>
      <c r="G25" s="449"/>
      <c r="H25" s="435"/>
      <c r="I25" s="736" t="s">
        <v>507</v>
      </c>
      <c r="J25" s="470">
        <f>ROUND('BASE(1)'!AA13,3)</f>
        <v>0.20799999999999999</v>
      </c>
      <c r="K25" s="471">
        <f>ROUND('BASE(2)'!AC15,3)</f>
        <v>0.41599999999999998</v>
      </c>
      <c r="N25" s="549" t="s">
        <v>26</v>
      </c>
      <c r="O25" s="533">
        <f>IF(UNIT!Z1=1,UNIT!$AD$61,UNIT!$AF$61)</f>
        <v>25.816099999999999</v>
      </c>
      <c r="P25" s="534">
        <f>IF(UNIT!Z1=1,UNIT!$AD$62,UNIT!$AF$62)</f>
        <v>13.5213</v>
      </c>
      <c r="Q25" s="534">
        <f>IF(UNIT!Z1=1,UNIT!$AD$63,UNIT!$AF$63)</f>
        <v>15.8531</v>
      </c>
      <c r="R25" s="550">
        <f>IF(UNIT!Z1=1,UNIT!$AD$64,UNIT!$AF$64)</f>
        <v>10.751799999999999</v>
      </c>
    </row>
    <row r="26" spans="1:22" ht="13.5" thickBot="1">
      <c r="A26" s="10" t="s">
        <v>402</v>
      </c>
      <c r="B26" s="141"/>
      <c r="C26" s="142"/>
      <c r="E26" s="443" t="s">
        <v>237</v>
      </c>
      <c r="F26" s="446"/>
      <c r="G26" s="449">
        <f>LOOKUP($N$15,$O$20:$R$20,O26:R26)</f>
        <v>1699.8172</v>
      </c>
      <c r="H26" s="435"/>
      <c r="I26" s="457"/>
      <c r="J26" s="457"/>
      <c r="K26" s="457"/>
      <c r="N26" s="551" t="s">
        <v>415</v>
      </c>
      <c r="O26" s="535">
        <f>IF(UNIT!Z1=1,UNIT!$AD$67,UNIT!$AF$67)</f>
        <v>1699.8172</v>
      </c>
      <c r="P26" s="536">
        <f>IF(UNIT!Z1=1,UNIT!$AD$68,UNIT!$AF$68)</f>
        <v>2045.855</v>
      </c>
      <c r="Q26" s="536">
        <f>IF(UNIT!Z1=1,UNIT!$AD$69,UNIT!$AF$69)</f>
        <v>2222.1264000000001</v>
      </c>
      <c r="R26" s="552">
        <f>IF(UNIT!Z1=1,UNIT!$AD$70,UNIT!$AF$70)</f>
        <v>1645.7614000000001</v>
      </c>
    </row>
    <row r="27" spans="1:22">
      <c r="B27" s="4"/>
      <c r="E27" s="457"/>
      <c r="F27" s="457"/>
      <c r="G27" s="457"/>
      <c r="H27" s="435"/>
      <c r="I27" s="438" t="s">
        <v>180</v>
      </c>
      <c r="J27" s="459"/>
      <c r="K27" s="457"/>
      <c r="N27" s="545" t="s">
        <v>417</v>
      </c>
      <c r="O27" s="546">
        <f>IF(UNIT!Z1=1,UNIT!$AD$115,UNIT!$AF$115)</f>
        <v>25797.040000000001</v>
      </c>
      <c r="P27" s="547">
        <f>IF(UNIT!Z1=1,UNIT!$AD$116,UNIT!$AF$116)</f>
        <v>28349.81</v>
      </c>
      <c r="Q27" s="547">
        <f>IF(UNIT!Z1=1,UNIT!$AD$117,UNIT!$AF$117)</f>
        <v>15385.18</v>
      </c>
      <c r="R27" s="548">
        <f>IF(UNIT!Z1=1,UNIT!$AD$118,UNIT!$AF$118)</f>
        <v>15867.1</v>
      </c>
    </row>
    <row r="28" spans="1:22">
      <c r="E28" s="457"/>
      <c r="F28" s="463" t="s">
        <v>21</v>
      </c>
      <c r="G28" s="463" t="s">
        <v>22</v>
      </c>
      <c r="H28" s="435"/>
      <c r="I28" s="464" t="s">
        <v>422</v>
      </c>
      <c r="J28" s="469">
        <f>LOOKUP($N$15,$O$20:$R$20,O27:R27)</f>
        <v>25797.040000000001</v>
      </c>
      <c r="K28" s="473"/>
      <c r="N28" s="549" t="s">
        <v>418</v>
      </c>
      <c r="O28" s="533">
        <f>IF(UNIT!Z1=1,UNIT!$AD$121,UNIT!$AF$121)</f>
        <v>0</v>
      </c>
      <c r="P28" s="534">
        <f>IF(UNIT!Z1=1,UNIT!$AD$122,UNIT!$AF$122)</f>
        <v>9312.75</v>
      </c>
      <c r="Q28" s="534">
        <f>IF(UNIT!Z1=1,UNIT!$AD$123,UNIT!$AF$123)</f>
        <v>7111.22</v>
      </c>
      <c r="R28" s="550">
        <f>IF(UNIT!Z1=1,UNIT!$AD$124,UNIT!$AF$124)</f>
        <v>4705.71</v>
      </c>
    </row>
    <row r="29" spans="1:22" ht="13.5" thickBot="1">
      <c r="E29" s="435" t="s">
        <v>232</v>
      </c>
      <c r="F29" s="455"/>
      <c r="G29" s="468">
        <f>TECNICO!G11</f>
        <v>9</v>
      </c>
      <c r="H29" s="435"/>
      <c r="I29" s="443" t="s">
        <v>164</v>
      </c>
      <c r="J29" s="474">
        <f>SUM(LOOKUP($N$15,$O$20:$R$20,O28:R28),LOOKUP($N$15,$O$20:$R$20,O29:R29))</f>
        <v>24731.57</v>
      </c>
      <c r="K29" s="473"/>
      <c r="N29" s="551" t="s">
        <v>419</v>
      </c>
      <c r="O29" s="535">
        <f>IF(UNIT!Z1=1,UNIT!$AD$127,UNIT!$AF$127)</f>
        <v>24731.57</v>
      </c>
      <c r="P29" s="536">
        <f>IF(UNIT!Z1=1,UNIT!$AD$128,UNIT!$AF$128)</f>
        <v>21116.87</v>
      </c>
      <c r="Q29" s="536">
        <f>IF(UNIT!Z1=1,UNIT!$AD$129,UNIT!$AF$129)</f>
        <v>19958.22</v>
      </c>
      <c r="R29" s="552">
        <f>IF(UNIT!Z1=1,UNIT!$AD$130,UNIT!$AF$130)</f>
        <v>10214.040000000001</v>
      </c>
    </row>
    <row r="30" spans="1:22">
      <c r="E30" s="457"/>
      <c r="F30" s="457"/>
      <c r="G30" s="457"/>
      <c r="H30" s="457"/>
      <c r="I30" s="443" t="s">
        <v>15</v>
      </c>
      <c r="J30" s="473">
        <v>6.7799999999999999E-2</v>
      </c>
      <c r="K30" s="473"/>
    </row>
    <row r="31" spans="1:22">
      <c r="E31" s="435" t="s">
        <v>163</v>
      </c>
      <c r="F31" s="459">
        <f ca="1">IF(UNIT!Z1=1,SUM(CRONO1!AA57,CRONO2!AA52)/SUM(CRONO1!AA59,CRONO2!AA54),AVERAGE(TC!H22:N22,TC!C24:G24))</f>
        <v>504.4657016124898</v>
      </c>
      <c r="G31" s="457"/>
      <c r="H31" s="435"/>
      <c r="I31" s="435"/>
      <c r="J31" s="435"/>
      <c r="K31" s="435"/>
      <c r="N31" s="537" t="s">
        <v>499</v>
      </c>
    </row>
    <row r="32" spans="1:22">
      <c r="E32" s="435"/>
      <c r="F32" s="435"/>
      <c r="G32" s="435"/>
      <c r="H32" s="435"/>
      <c r="I32" s="435"/>
      <c r="J32" s="435"/>
      <c r="K32" s="435"/>
    </row>
    <row r="33" spans="5:22" s="591" customFormat="1" ht="19.5" customHeight="1">
      <c r="E33" s="592" t="str">
        <f>_xlfn.CONCAT("Cosecha ",IF(UNIT!Z1=1,UNIT!AD3,UNIT!AF3),"-",IF(UNIT!Z1=1,UNIT!AD3+1,UNIT!AF3+1))</f>
        <v>Cosecha 2025-2026</v>
      </c>
      <c r="F33" s="593"/>
      <c r="G33" s="593"/>
      <c r="H33" s="593"/>
      <c r="I33" s="593"/>
      <c r="J33" s="593"/>
      <c r="K33" s="594" t="s">
        <v>19</v>
      </c>
      <c r="U33" s="595"/>
      <c r="V33" s="595"/>
    </row>
  </sheetData>
  <sheetProtection algorithmName="SHA-512" hashValue="2uPpfF2Ltm4CGrRuxCkL4eMqq+PS2F1WTvhTFMK8TY+JxXnVOGTacviX1I6qU5w0t9pyo1tcFH5lalQv0zORng==" saltValue="Mveu1r19aXLJknfet1SyNA==" spinCount="100000" sheet="1" objects="1" scenarios="1"/>
  <mergeCells count="1">
    <mergeCell ref="N16:R17"/>
  </mergeCells>
  <phoneticPr fontId="14" type="noConversion"/>
  <dataValidations count="1">
    <dataValidation type="list" allowBlank="1" showInputMessage="1" showErrorMessage="1" error="Solo puede digitar letras entre A y D" sqref="N15" xr:uid="{5C6687BA-84C6-4763-8CF5-3ECF3C5FCF3A}">
      <formula1>$O$20:$R$20</formula1>
    </dataValidation>
  </dataValidations>
  <printOptions horizontalCentered="1" verticalCentered="1"/>
  <pageMargins left="0.59055118110236227" right="0.59055118110236227" top="0.59055118110236227" bottom="0.59055118110236227" header="0" footer="0.39370078740157483"/>
  <pageSetup paperSize="9" scale="90" orientation="landscape" r:id="rId1"/>
  <headerFooter alignWithMargins="0"/>
  <ignoredErrors>
    <ignoredError sqref="F3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98"/>
  <sheetViews>
    <sheetView showGridLines="0" zoomScaleNormal="100" workbookViewId="0"/>
  </sheetViews>
  <sheetFormatPr baseColWidth="10" defaultRowHeight="12.75"/>
  <cols>
    <col min="1" max="1" width="2.5703125" bestFit="1" customWidth="1"/>
    <col min="2" max="2" width="23.5703125" customWidth="1"/>
    <col min="3" max="3" width="10.85546875" customWidth="1"/>
    <col min="4" max="4" width="8.5703125" customWidth="1"/>
    <col min="5" max="5" width="10.85546875" bestFit="1" customWidth="1"/>
    <col min="6" max="6" width="10.140625" bestFit="1" customWidth="1"/>
    <col min="7" max="7" width="1.140625" customWidth="1"/>
    <col min="8" max="8" width="13.140625" bestFit="1" customWidth="1"/>
    <col min="10" max="10" width="1.140625" customWidth="1"/>
    <col min="11" max="11" width="7" bestFit="1" customWidth="1"/>
    <col min="12" max="12" width="2.5703125" customWidth="1"/>
    <col min="13" max="13" width="2.5703125" bestFit="1" customWidth="1"/>
    <col min="14" max="14" width="23.5703125" customWidth="1"/>
    <col min="15" max="15" width="10.85546875" customWidth="1"/>
    <col min="16" max="16" width="8.7109375" customWidth="1"/>
    <col min="17" max="17" width="10.85546875" customWidth="1"/>
    <col min="18" max="18" width="10" bestFit="1" customWidth="1"/>
    <col min="19" max="19" width="1.140625" customWidth="1"/>
    <col min="20" max="20" width="11.7109375" bestFit="1" customWidth="1"/>
    <col min="22" max="22" width="1.140625" customWidth="1"/>
    <col min="23" max="23" width="7" bestFit="1" customWidth="1"/>
    <col min="24" max="24" width="2.5703125" customWidth="1"/>
    <col min="26" max="26" width="7.42578125" bestFit="1" customWidth="1"/>
  </cols>
  <sheetData>
    <row r="1" spans="1:24" s="5" customFormat="1" ht="18">
      <c r="A1" s="154" t="s">
        <v>142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X1" s="155"/>
    </row>
    <row r="2" spans="1:24" s="5" customFormat="1" ht="18">
      <c r="A2" s="154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X2" s="155"/>
    </row>
    <row r="3" spans="1:24" s="5" customFormat="1" ht="18">
      <c r="A3" s="154" t="str">
        <f>_xlfn.CONCAT(FICHA!E33," (Abr-Mar)")</f>
        <v>Cosecha 2025-2026 (Abr-Mar)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X3" s="155"/>
    </row>
    <row r="4" spans="1:24" s="5" customFormat="1" ht="18">
      <c r="A4" s="154" t="s">
        <v>144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X4" s="155"/>
    </row>
    <row r="5" spans="1:24" s="5" customFormat="1" ht="13.5" thickBot="1"/>
    <row r="6" spans="1:24" s="148" customFormat="1" ht="15" customHeight="1" thickBot="1">
      <c r="C6" s="149" t="s">
        <v>99</v>
      </c>
      <c r="D6" s="475" t="s">
        <v>5</v>
      </c>
      <c r="E6" s="149" t="s">
        <v>1</v>
      </c>
      <c r="F6" s="475" t="s">
        <v>5</v>
      </c>
      <c r="G6" s="149"/>
      <c r="H6" s="477" t="s">
        <v>2</v>
      </c>
      <c r="I6" s="478"/>
      <c r="L6" s="5"/>
      <c r="X6" s="5"/>
    </row>
    <row r="7" spans="1:24" s="148" customFormat="1" ht="15" customHeight="1" thickBot="1">
      <c r="B7" s="150" t="s">
        <v>100</v>
      </c>
      <c r="C7" s="151" t="s">
        <v>101</v>
      </c>
      <c r="D7" s="476" t="s">
        <v>102</v>
      </c>
      <c r="E7" s="151" t="s">
        <v>103</v>
      </c>
      <c r="F7" s="476" t="s">
        <v>1</v>
      </c>
      <c r="G7" s="151"/>
      <c r="H7" s="151" t="s">
        <v>141</v>
      </c>
      <c r="I7" s="152" t="s">
        <v>191</v>
      </c>
      <c r="J7" s="151"/>
      <c r="K7" s="153" t="s">
        <v>25</v>
      </c>
      <c r="L7" s="5"/>
      <c r="X7" s="5"/>
    </row>
    <row r="8" spans="1:24" s="41" customFormat="1" ht="4.5" customHeight="1">
      <c r="D8" s="488"/>
      <c r="F8" s="488"/>
      <c r="I8" s="47"/>
      <c r="K8" s="66"/>
      <c r="L8" s="5"/>
      <c r="X8" s="5"/>
    </row>
    <row r="9" spans="1:24" s="41" customFormat="1">
      <c r="A9" s="48">
        <v>1</v>
      </c>
      <c r="B9" s="48" t="s">
        <v>104</v>
      </c>
      <c r="C9" s="48"/>
      <c r="D9" s="489"/>
      <c r="E9" s="58"/>
      <c r="F9" s="489"/>
      <c r="G9" s="48"/>
      <c r="H9" s="49">
        <f>SUM(H10:H11)</f>
        <v>2111641.4169395999</v>
      </c>
      <c r="I9" s="50">
        <f ca="1">SUM(I10:I11)</f>
        <v>4185.8969007999631</v>
      </c>
      <c r="J9" s="51"/>
      <c r="K9" s="52">
        <f ca="1">SUM(K10:K11)</f>
        <v>0.45790319311431471</v>
      </c>
      <c r="L9" s="5"/>
      <c r="X9" s="5"/>
    </row>
    <row r="10" spans="1:24" ht="14.25" customHeight="1">
      <c r="B10" s="41" t="s">
        <v>105</v>
      </c>
      <c r="C10" s="6">
        <f>FICHA!F5</f>
        <v>894.59999999999991</v>
      </c>
      <c r="D10" s="490" t="s">
        <v>157</v>
      </c>
      <c r="E10" s="9">
        <f>FICHA!F7</f>
        <v>1627.21</v>
      </c>
      <c r="F10" s="495" t="s">
        <v>159</v>
      </c>
      <c r="H10" s="53">
        <f>C10*E10</f>
        <v>1455702.0659999999</v>
      </c>
      <c r="I10" s="54">
        <f ca="1">H10/$E$50</f>
        <v>2885.6313944574404</v>
      </c>
      <c r="K10" s="67">
        <f ca="1">H10/$H$49</f>
        <v>0.3156646857261235</v>
      </c>
      <c r="L10" s="5"/>
      <c r="X10" s="5"/>
    </row>
    <row r="11" spans="1:24">
      <c r="B11" s="35" t="s">
        <v>106</v>
      </c>
      <c r="C11" s="17">
        <f>FICHA!F8*100</f>
        <v>45.06</v>
      </c>
      <c r="D11" s="490" t="s">
        <v>107</v>
      </c>
      <c r="E11" s="9"/>
      <c r="F11" s="495"/>
      <c r="H11" s="53">
        <f>H10*C11/100</f>
        <v>655939.35093959991</v>
      </c>
      <c r="I11" s="54">
        <f ca="1">H11/$E$50</f>
        <v>1300.2655063425225</v>
      </c>
      <c r="K11" s="67">
        <f ca="1">H11/$H$49</f>
        <v>0.14223850738819124</v>
      </c>
      <c r="L11" s="5"/>
      <c r="X11" s="5"/>
    </row>
    <row r="12" spans="1:24" s="41" customFormat="1" ht="3.75" customHeight="1">
      <c r="D12" s="488"/>
      <c r="E12" s="53"/>
      <c r="F12" s="496"/>
      <c r="G12" s="23"/>
      <c r="H12" s="46"/>
      <c r="I12" s="55"/>
      <c r="J12" s="46"/>
      <c r="K12" s="68"/>
      <c r="L12" s="5"/>
      <c r="N12"/>
      <c r="O12"/>
      <c r="X12" s="5"/>
    </row>
    <row r="13" spans="1:24">
      <c r="A13" s="48">
        <v>2</v>
      </c>
      <c r="B13" s="48" t="s">
        <v>134</v>
      </c>
      <c r="C13" s="48"/>
      <c r="D13" s="489"/>
      <c r="E13" s="9"/>
      <c r="F13" s="497"/>
      <c r="H13" s="49">
        <f ca="1">SUM(H14:H29)</f>
        <v>2157993.8963488895</v>
      </c>
      <c r="I13" s="50">
        <f ca="1">SUM(I14:I29)</f>
        <v>4277.781203857885</v>
      </c>
      <c r="K13" s="52">
        <f ca="1">SUM(K14:K29)</f>
        <v>0.46795459112157695</v>
      </c>
      <c r="L13" s="5"/>
      <c r="X13" s="5"/>
    </row>
    <row r="14" spans="1:24">
      <c r="A14" s="41"/>
      <c r="B14" s="41" t="s">
        <v>110</v>
      </c>
      <c r="C14" s="56">
        <f>FICHA!F11</f>
        <v>5000</v>
      </c>
      <c r="D14" s="490" t="s">
        <v>109</v>
      </c>
      <c r="E14" s="9">
        <f>FICHA!F12</f>
        <v>294.9785</v>
      </c>
      <c r="F14" s="495" t="s">
        <v>138</v>
      </c>
      <c r="H14" s="53">
        <f>C14*E14</f>
        <v>1474892.5</v>
      </c>
      <c r="I14" s="54">
        <f t="shared" ref="I14:I27" ca="1" si="0">H14/$E$50</f>
        <v>2923.6725019869696</v>
      </c>
      <c r="K14" s="67">
        <f t="shared" ref="K14:K26" ca="1" si="1">H14/$H$49</f>
        <v>0.31982607455632794</v>
      </c>
      <c r="L14" s="5"/>
      <c r="X14" s="5"/>
    </row>
    <row r="15" spans="1:24">
      <c r="A15" s="41"/>
      <c r="B15" s="41" t="s">
        <v>243</v>
      </c>
      <c r="C15" s="56">
        <v>224</v>
      </c>
      <c r="D15" s="490" t="s">
        <v>244</v>
      </c>
      <c r="E15" s="9">
        <f>IF(UNIT!Z1=1,UNIT!AD30,UNIT!AF30)</f>
        <v>296.38889999999998</v>
      </c>
      <c r="F15" s="495" t="s">
        <v>245</v>
      </c>
      <c r="H15" s="53">
        <f t="shared" ref="H15" si="2">C15*E15</f>
        <v>66391.113599999997</v>
      </c>
      <c r="I15" s="54">
        <f t="shared" ca="1" si="0"/>
        <v>131.60679385691711</v>
      </c>
      <c r="K15" s="67">
        <f t="shared" ca="1" si="1"/>
        <v>1.4396716539077415E-2</v>
      </c>
      <c r="L15" s="5"/>
      <c r="X15" s="5"/>
    </row>
    <row r="16" spans="1:24">
      <c r="A16" s="41"/>
      <c r="B16" s="41" t="s">
        <v>400</v>
      </c>
      <c r="C16" s="57">
        <f>FICHA!F15</f>
        <v>41.7</v>
      </c>
      <c r="D16" s="490" t="s">
        <v>111</v>
      </c>
      <c r="E16" s="9">
        <f>IF(UNIT!Z1=1,UNIT!AD31,UNIT!AF31)</f>
        <v>2419.67</v>
      </c>
      <c r="F16" s="495" t="s">
        <v>139</v>
      </c>
      <c r="H16" s="53">
        <f>C16*E16</f>
        <v>100900.23900000002</v>
      </c>
      <c r="I16" s="54">
        <f t="shared" ca="1" si="0"/>
        <v>200.01407167519886</v>
      </c>
      <c r="K16" s="67">
        <f t="shared" ca="1" si="1"/>
        <v>2.1879918272799757E-2</v>
      </c>
      <c r="L16" s="5"/>
      <c r="X16" s="5"/>
    </row>
    <row r="17" spans="1:24">
      <c r="B17" s="172" t="s">
        <v>44</v>
      </c>
      <c r="C17" s="173">
        <f>FICHA!F18</f>
        <v>275</v>
      </c>
      <c r="D17" s="491" t="s">
        <v>111</v>
      </c>
      <c r="E17" s="174">
        <f>TECNICO!N15/45</f>
        <v>489.70800000000003</v>
      </c>
      <c r="F17" s="498" t="s">
        <v>139</v>
      </c>
      <c r="G17" s="175"/>
      <c r="H17" s="176">
        <f t="shared" ref="H17:H34" si="3">C17*E17</f>
        <v>134669.70000000001</v>
      </c>
      <c r="I17" s="177">
        <f t="shared" ca="1" si="0"/>
        <v>266.95511621412044</v>
      </c>
      <c r="J17" s="175"/>
      <c r="K17" s="178">
        <f t="shared" ca="1" si="1"/>
        <v>2.9202725969979724E-2</v>
      </c>
      <c r="L17" s="5"/>
      <c r="X17" s="5"/>
    </row>
    <row r="18" spans="1:24">
      <c r="B18" s="186" t="s">
        <v>45</v>
      </c>
      <c r="C18" s="60">
        <f>FICHA!F19</f>
        <v>475</v>
      </c>
      <c r="D18" s="490" t="s">
        <v>111</v>
      </c>
      <c r="E18" s="9">
        <f>TECNICO!N25/45</f>
        <v>379.52511111111113</v>
      </c>
      <c r="F18" s="495" t="s">
        <v>139</v>
      </c>
      <c r="H18" s="53">
        <f t="shared" si="3"/>
        <v>180274.42777777778</v>
      </c>
      <c r="I18" s="54">
        <f t="shared" ca="1" si="0"/>
        <v>357.35715471149575</v>
      </c>
      <c r="K18" s="67">
        <f t="shared" ca="1" si="1"/>
        <v>3.9091976248475678E-2</v>
      </c>
      <c r="L18" s="5"/>
      <c r="X18" s="5"/>
    </row>
    <row r="19" spans="1:24">
      <c r="B19" s="179" t="s">
        <v>46</v>
      </c>
      <c r="C19" s="180">
        <f>FICHA!F20</f>
        <v>125</v>
      </c>
      <c r="D19" s="492" t="s">
        <v>111</v>
      </c>
      <c r="E19" s="181">
        <f>TECNICO!N33/45</f>
        <v>312.77022222222223</v>
      </c>
      <c r="F19" s="499" t="s">
        <v>139</v>
      </c>
      <c r="G19" s="182"/>
      <c r="H19" s="183">
        <f t="shared" si="3"/>
        <v>39096.277777777781</v>
      </c>
      <c r="I19" s="184">
        <f t="shared" ca="1" si="0"/>
        <v>77.500368514270107</v>
      </c>
      <c r="J19" s="182"/>
      <c r="K19" s="185">
        <f t="shared" ca="1" si="1"/>
        <v>8.4779121538894955E-3</v>
      </c>
      <c r="L19" s="5"/>
      <c r="X19" s="5"/>
    </row>
    <row r="20" spans="1:24">
      <c r="B20" t="s">
        <v>238</v>
      </c>
      <c r="C20" s="60">
        <f>FICHA!F21</f>
        <v>500</v>
      </c>
      <c r="D20" s="490" t="s">
        <v>111</v>
      </c>
      <c r="E20" s="9">
        <f>IF(UNIT!Z1=1,UNIT!AD35/45,UNIT!AF35/45)</f>
        <v>84.13666666666667</v>
      </c>
      <c r="F20" s="495" t="s">
        <v>139</v>
      </c>
      <c r="H20" s="53">
        <f>C20*E20</f>
        <v>42068.333333333336</v>
      </c>
      <c r="I20" s="54">
        <f t="shared" ca="1" si="0"/>
        <v>83.391860336321798</v>
      </c>
      <c r="K20" s="67">
        <f t="shared" ca="1" si="1"/>
        <v>9.1223936070778874E-3</v>
      </c>
      <c r="L20" s="5"/>
      <c r="X20" s="5"/>
    </row>
    <row r="21" spans="1:24">
      <c r="B21" s="148" t="s">
        <v>381</v>
      </c>
      <c r="C21" s="416">
        <f>FICHA!J16</f>
        <v>1.2</v>
      </c>
      <c r="D21" s="490" t="s">
        <v>388</v>
      </c>
      <c r="E21" s="9">
        <f ca="1">IF(UNIT!Z1=1,UNIT!AD38,UNIT!AF38)</f>
        <v>35713.65</v>
      </c>
      <c r="F21" s="495" t="s">
        <v>140</v>
      </c>
      <c r="H21" s="53">
        <f t="shared" ca="1" si="3"/>
        <v>42856.38</v>
      </c>
      <c r="I21" s="54">
        <f t="shared" ca="1" si="0"/>
        <v>84.954001556523139</v>
      </c>
      <c r="K21" s="67">
        <f t="shared" ca="1" si="1"/>
        <v>9.2932791949883273E-3</v>
      </c>
      <c r="L21" s="5"/>
      <c r="X21" s="5"/>
    </row>
    <row r="22" spans="1:24">
      <c r="B22" s="148" t="s">
        <v>382</v>
      </c>
      <c r="C22" s="416">
        <f>FICHA!J17</f>
        <v>0.36</v>
      </c>
      <c r="D22" s="490" t="s">
        <v>111</v>
      </c>
      <c r="E22" s="9">
        <f>IF(UNIT!Z1=1,UNIT!AD42,UNIT!AF42)</f>
        <v>107138.45</v>
      </c>
      <c r="F22" s="495" t="s">
        <v>140</v>
      </c>
      <c r="H22" s="53">
        <f t="shared" si="3"/>
        <v>38569.841999999997</v>
      </c>
      <c r="I22" s="54">
        <f t="shared" ca="1" si="0"/>
        <v>76.456817335081766</v>
      </c>
      <c r="K22" s="67">
        <f t="shared" ca="1" si="1"/>
        <v>8.3637561131525099E-3</v>
      </c>
      <c r="L22" s="5"/>
      <c r="X22" s="5"/>
    </row>
    <row r="23" spans="1:24">
      <c r="B23" s="148" t="s">
        <v>383</v>
      </c>
      <c r="C23" s="416">
        <f>FICHA!J18</f>
        <v>1.5</v>
      </c>
      <c r="D23" s="490" t="s">
        <v>389</v>
      </c>
      <c r="E23" s="9">
        <f>IF(UNIT!Z1=1,UNIT!AD45,UNIT!AF45)</f>
        <v>10538.94</v>
      </c>
      <c r="F23" s="495" t="s">
        <v>391</v>
      </c>
      <c r="H23" s="53">
        <f t="shared" si="3"/>
        <v>15808.41</v>
      </c>
      <c r="I23" s="54">
        <f t="shared" ca="1" si="0"/>
        <v>31.336937178225416</v>
      </c>
      <c r="K23" s="67">
        <f t="shared" ca="1" si="1"/>
        <v>3.4280069328964653E-3</v>
      </c>
      <c r="L23" s="5"/>
      <c r="X23" s="5"/>
    </row>
    <row r="24" spans="1:24">
      <c r="B24" s="148" t="s">
        <v>508</v>
      </c>
      <c r="C24" s="416">
        <f>FICHA!J19</f>
        <v>0.6</v>
      </c>
      <c r="D24" s="490" t="s">
        <v>116</v>
      </c>
      <c r="E24" s="9">
        <f>IF(UNIT!Z1=1,UNIT!AD46,UNIT!AF46)</f>
        <v>12025.82</v>
      </c>
      <c r="F24" s="495" t="s">
        <v>140</v>
      </c>
      <c r="H24" s="53">
        <f t="shared" si="3"/>
        <v>7215.4919999999993</v>
      </c>
      <c r="I24" s="54">
        <f t="shared" ca="1" si="0"/>
        <v>14.303236031579901</v>
      </c>
      <c r="K24" s="67">
        <f t="shared" ca="1" si="1"/>
        <v>1.5646580902354493E-3</v>
      </c>
      <c r="L24" s="5"/>
      <c r="X24" s="5"/>
    </row>
    <row r="25" spans="1:24">
      <c r="B25" s="410" t="s">
        <v>385</v>
      </c>
      <c r="C25" s="417">
        <f>FICHA!J20</f>
        <v>0.87</v>
      </c>
      <c r="D25" s="493" t="s">
        <v>116</v>
      </c>
      <c r="E25" s="411">
        <f>IF(UNIT!Z1=1,UNIT!AD47,UNIT!AF47)</f>
        <v>8703.3700000000008</v>
      </c>
      <c r="F25" s="500" t="s">
        <v>140</v>
      </c>
      <c r="G25" s="412"/>
      <c r="H25" s="413">
        <f t="shared" si="3"/>
        <v>7571.9319000000005</v>
      </c>
      <c r="I25" s="414">
        <f t="shared" ca="1" si="0"/>
        <v>15.009805177630199</v>
      </c>
      <c r="J25" s="412"/>
      <c r="K25" s="415">
        <f t="shared" ca="1" si="1"/>
        <v>1.6419510278781932E-3</v>
      </c>
      <c r="L25" s="5"/>
      <c r="X25" s="5"/>
    </row>
    <row r="26" spans="1:24">
      <c r="B26" s="148" t="s">
        <v>386</v>
      </c>
      <c r="C26" s="416">
        <f>FICHA!J23</f>
        <v>2</v>
      </c>
      <c r="D26" s="490" t="s">
        <v>116</v>
      </c>
      <c r="E26" s="9">
        <f>IF(UNIT!Z1=1,UNIT!AD48,UNIT!AF48)</f>
        <v>3231.94</v>
      </c>
      <c r="F26" s="495" t="s">
        <v>140</v>
      </c>
      <c r="H26" s="53">
        <f t="shared" si="3"/>
        <v>6463.88</v>
      </c>
      <c r="I26" s="54">
        <f t="shared" ca="1" si="0"/>
        <v>12.813319080640476</v>
      </c>
      <c r="K26" s="67">
        <f t="shared" ca="1" si="1"/>
        <v>1.4016732519849121E-3</v>
      </c>
      <c r="L26" s="5"/>
      <c r="X26" s="5"/>
    </row>
    <row r="27" spans="1:24">
      <c r="B27" s="148" t="s">
        <v>501</v>
      </c>
      <c r="C27" s="416">
        <v>0</v>
      </c>
      <c r="D27" s="490" t="s">
        <v>116</v>
      </c>
      <c r="E27" s="9">
        <f>IF(UNIT!Z1=1,UNIT!AD49,UNIT!AF49)</f>
        <v>7745.96</v>
      </c>
      <c r="F27" s="495" t="s">
        <v>140</v>
      </c>
      <c r="H27" s="53">
        <f t="shared" ref="H27" si="4">C27*E27</f>
        <v>0</v>
      </c>
      <c r="I27" s="54">
        <f t="shared" ca="1" si="0"/>
        <v>0</v>
      </c>
      <c r="K27" s="67">
        <f t="shared" ref="K27" ca="1" si="5">H27/$H$49</f>
        <v>0</v>
      </c>
      <c r="L27" s="5"/>
      <c r="X27" s="5"/>
    </row>
    <row r="28" spans="1:24">
      <c r="B28" s="410" t="s">
        <v>387</v>
      </c>
      <c r="C28" s="417">
        <f>FICHA!J25</f>
        <v>0.20799999999999999</v>
      </c>
      <c r="D28" s="493" t="s">
        <v>390</v>
      </c>
      <c r="E28" s="411">
        <f>IF(UNIT!Z1=1,UNIT!AD50,UNIT!AF50)</f>
        <v>5843.12</v>
      </c>
      <c r="F28" s="500" t="s">
        <v>391</v>
      </c>
      <c r="G28" s="412"/>
      <c r="H28" s="413">
        <f t="shared" si="3"/>
        <v>1215.36896</v>
      </c>
      <c r="I28" s="414">
        <f ca="1">H28/$E$50</f>
        <v>2.4092202029100434</v>
      </c>
      <c r="J28" s="412"/>
      <c r="K28" s="415">
        <f ca="1">H28/$H$49</f>
        <v>2.6354916281315875E-4</v>
      </c>
      <c r="L28" s="5"/>
      <c r="X28" s="5"/>
    </row>
    <row r="29" spans="1:24" s="41" customFormat="1" ht="7.5" customHeight="1" thickBot="1">
      <c r="D29" s="494"/>
      <c r="E29" s="23"/>
      <c r="F29" s="501"/>
      <c r="G29" s="23"/>
      <c r="H29" s="46"/>
      <c r="I29" s="55"/>
      <c r="K29" s="61"/>
      <c r="L29" s="5"/>
      <c r="N29"/>
      <c r="O29"/>
      <c r="Q29"/>
      <c r="X29" s="5"/>
    </row>
    <row r="30" spans="1:24" s="148" customFormat="1" ht="17.100000000000001" customHeight="1" thickBot="1">
      <c r="B30" s="479" t="s">
        <v>147</v>
      </c>
      <c r="C30" s="480"/>
      <c r="D30" s="480"/>
      <c r="E30" s="481"/>
      <c r="F30" s="481"/>
      <c r="G30" s="481"/>
      <c r="H30" s="482">
        <f ca="1">SUM(H9,H13)</f>
        <v>4269635.3132884894</v>
      </c>
      <c r="I30" s="483">
        <f ca="1">SUM(I9,I13)</f>
        <v>8463.6781046578471</v>
      </c>
      <c r="J30" s="62"/>
      <c r="K30" s="484">
        <f ca="1">SUM(K9,K13)</f>
        <v>0.92585778423589171</v>
      </c>
      <c r="L30" s="5"/>
      <c r="N30"/>
      <c r="O30"/>
      <c r="X30" s="5"/>
    </row>
    <row r="31" spans="1:24" s="41" customFormat="1" ht="4.5" customHeight="1">
      <c r="D31" s="488"/>
      <c r="E31" s="23"/>
      <c r="F31" s="496"/>
      <c r="G31" s="23"/>
      <c r="H31" s="46"/>
      <c r="I31" s="55"/>
      <c r="K31" s="129"/>
      <c r="L31" s="5"/>
      <c r="X31" s="5"/>
    </row>
    <row r="32" spans="1:24">
      <c r="A32" s="48">
        <v>3</v>
      </c>
      <c r="B32" s="48" t="s">
        <v>133</v>
      </c>
      <c r="C32" s="48"/>
      <c r="D32" s="489"/>
      <c r="E32" s="9"/>
      <c r="F32" s="497"/>
      <c r="H32" s="49">
        <f>SUM(H33:H34)</f>
        <v>148768.98749999999</v>
      </c>
      <c r="I32" s="50">
        <f ca="1">SUM(I33:I34)</f>
        <v>294.90406785727987</v>
      </c>
      <c r="K32" s="52">
        <f ca="1">SUM(K33:K34)</f>
        <v>3.2260114745884479E-2</v>
      </c>
      <c r="L32" s="5"/>
      <c r="X32" s="5"/>
    </row>
    <row r="33" spans="1:24">
      <c r="B33" s="41" t="s">
        <v>117</v>
      </c>
      <c r="C33" s="60">
        <f>SUM(C17:C20)</f>
        <v>1375</v>
      </c>
      <c r="D33" s="490" t="s">
        <v>111</v>
      </c>
      <c r="E33" s="9">
        <f>FICHA!F24</f>
        <v>14.318899999999999</v>
      </c>
      <c r="F33" s="495" t="s">
        <v>139</v>
      </c>
      <c r="H33" s="53">
        <f t="shared" si="3"/>
        <v>19688.487499999999</v>
      </c>
      <c r="I33" s="54">
        <f ca="1">H33/$E$50</f>
        <v>39.028396652274097</v>
      </c>
      <c r="K33" s="67">
        <f ca="1">H33/$H$49</f>
        <v>4.269390257985806E-3</v>
      </c>
      <c r="L33" s="5"/>
      <c r="X33" s="5"/>
    </row>
    <row r="34" spans="1:24">
      <c r="B34" s="14" t="s">
        <v>118</v>
      </c>
      <c r="C34" s="59">
        <f>C14</f>
        <v>5000</v>
      </c>
      <c r="D34" s="490" t="s">
        <v>109</v>
      </c>
      <c r="E34" s="9">
        <f>FICHA!F25</f>
        <v>25.816099999999999</v>
      </c>
      <c r="F34" s="495" t="s">
        <v>138</v>
      </c>
      <c r="H34" s="53">
        <f t="shared" si="3"/>
        <v>129080.5</v>
      </c>
      <c r="I34" s="54">
        <f ca="1">H34/$E$50</f>
        <v>255.8756712050058</v>
      </c>
      <c r="K34" s="67">
        <f ca="1">H34/$H$49</f>
        <v>2.7990724487898671E-2</v>
      </c>
      <c r="L34" s="5"/>
      <c r="X34" s="5"/>
    </row>
    <row r="35" spans="1:24" s="41" customFormat="1" ht="4.5" customHeight="1" thickBot="1">
      <c r="D35" s="494"/>
      <c r="E35" s="23"/>
      <c r="F35" s="501"/>
      <c r="G35" s="23"/>
      <c r="H35" s="46"/>
      <c r="I35" s="55"/>
      <c r="K35" s="61"/>
      <c r="L35" s="5"/>
      <c r="X35" s="5"/>
    </row>
    <row r="36" spans="1:24" s="148" customFormat="1" ht="17.100000000000001" customHeight="1" thickBot="1">
      <c r="B36" s="479" t="s">
        <v>242</v>
      </c>
      <c r="C36" s="480"/>
      <c r="D36" s="480"/>
      <c r="E36" s="481"/>
      <c r="F36" s="481"/>
      <c r="G36" s="481"/>
      <c r="H36" s="482">
        <f ca="1">SUM(H30:H32)</f>
        <v>4418404.3007884892</v>
      </c>
      <c r="I36" s="483">
        <f ca="1">SUM(I30:I32)</f>
        <v>8758.5821725151272</v>
      </c>
      <c r="J36" s="62"/>
      <c r="K36" s="484">
        <f ca="1">SUM(K30:K32)</f>
        <v>0.95811789898177624</v>
      </c>
      <c r="L36" s="5"/>
      <c r="X36" s="5"/>
    </row>
    <row r="37" spans="1:24" s="41" customFormat="1" ht="4.5" customHeight="1">
      <c r="D37" s="63"/>
      <c r="E37" s="23"/>
      <c r="F37" s="502"/>
      <c r="G37" s="23"/>
      <c r="H37" s="46"/>
      <c r="I37" s="55"/>
      <c r="K37" s="69"/>
      <c r="L37" s="5"/>
      <c r="X37" s="5"/>
    </row>
    <row r="38" spans="1:24">
      <c r="A38" s="48">
        <v>4</v>
      </c>
      <c r="B38" s="48" t="s">
        <v>112</v>
      </c>
      <c r="D38" s="48"/>
      <c r="F38" s="489"/>
      <c r="H38" s="49">
        <f>SUM(H39,H42,H47)</f>
        <v>193141.21514861495</v>
      </c>
      <c r="I38" s="50">
        <f ca="1">SUM(I39,I42,I47)</f>
        <v>382.86292711526755</v>
      </c>
      <c r="K38" s="70">
        <f ca="1">SUM(K39,K42,K47)</f>
        <v>4.1882101018223844E-2</v>
      </c>
      <c r="L38" s="5"/>
      <c r="X38" s="5"/>
    </row>
    <row r="39" spans="1:24">
      <c r="B39" s="131" t="s">
        <v>113</v>
      </c>
      <c r="D39" s="46"/>
      <c r="F39" s="490"/>
      <c r="H39" s="132">
        <f>SUM(H40:H41)</f>
        <v>26021.495034274994</v>
      </c>
      <c r="I39" s="133">
        <f t="shared" ref="I39:I47" ca="1" si="6">H39/$E$50</f>
        <v>51.582287856437183</v>
      </c>
      <c r="K39" s="134">
        <f t="shared" ref="K39:K47" ca="1" si="7">H39/$H$49</f>
        <v>5.6426842030176108E-3</v>
      </c>
      <c r="L39" s="5"/>
      <c r="X39" s="5"/>
    </row>
    <row r="40" spans="1:24">
      <c r="B40" s="35" t="s">
        <v>182</v>
      </c>
      <c r="D40" s="46"/>
      <c r="F40" s="490" t="s">
        <v>145</v>
      </c>
      <c r="H40" s="9">
        <f>FICHA!J5/FICHA!J11</f>
        <v>11326.747873874998</v>
      </c>
      <c r="I40" s="54">
        <f t="shared" ca="1" si="6"/>
        <v>22.452959314517976</v>
      </c>
      <c r="K40" s="67">
        <f t="shared" ca="1" si="7"/>
        <v>2.4561717616644425E-3</v>
      </c>
      <c r="L40" s="5"/>
      <c r="X40" s="5"/>
    </row>
    <row r="41" spans="1:24">
      <c r="B41" s="35" t="s">
        <v>136</v>
      </c>
      <c r="D41" s="46"/>
      <c r="F41" s="490" t="s">
        <v>145</v>
      </c>
      <c r="H41" s="9">
        <f>FICHA!J7/FICHA!J12</f>
        <v>14694.747160399998</v>
      </c>
      <c r="I41" s="54">
        <f t="shared" ca="1" si="6"/>
        <v>29.129328541919211</v>
      </c>
      <c r="K41" s="67">
        <f t="shared" ca="1" si="7"/>
        <v>3.1865124413531687E-3</v>
      </c>
      <c r="L41" s="5"/>
      <c r="X41" s="5"/>
    </row>
    <row r="42" spans="1:24">
      <c r="B42" s="131" t="s">
        <v>114</v>
      </c>
      <c r="D42" s="46"/>
      <c r="F42" s="490"/>
      <c r="H42" s="132">
        <f>SUM(H43:H46)</f>
        <v>116591.11011433999</v>
      </c>
      <c r="I42" s="133">
        <f t="shared" ca="1" si="6"/>
        <v>231.1180120703242</v>
      </c>
      <c r="K42" s="134">
        <f t="shared" ca="1" si="7"/>
        <v>2.5282437246127391E-2</v>
      </c>
      <c r="L42" s="5"/>
      <c r="X42" s="5"/>
    </row>
    <row r="43" spans="1:24">
      <c r="B43" s="35" t="s">
        <v>182</v>
      </c>
      <c r="F43" s="490" t="s">
        <v>145</v>
      </c>
      <c r="H43" s="9">
        <f>FICHA!J5*FICHA!K5</f>
        <v>10058.152112000998</v>
      </c>
      <c r="I43" s="54">
        <f t="shared" ca="1" si="6"/>
        <v>19.938227871291961</v>
      </c>
      <c r="K43" s="67">
        <f t="shared" ca="1" si="7"/>
        <v>2.1810805243580251E-3</v>
      </c>
      <c r="L43" s="5"/>
      <c r="X43" s="5"/>
    </row>
    <row r="44" spans="1:24">
      <c r="B44" s="35" t="s">
        <v>132</v>
      </c>
      <c r="F44" s="490" t="s">
        <v>145</v>
      </c>
      <c r="H44" s="9">
        <f>FICHA!J6*FICHA!K6</f>
        <v>102395.58647103519</v>
      </c>
      <c r="I44" s="54">
        <f t="shared" ca="1" si="6"/>
        <v>202.97829197056365</v>
      </c>
      <c r="K44" s="67">
        <f t="shared" ca="1" si="7"/>
        <v>2.2204179947300718E-2</v>
      </c>
      <c r="L44" s="5"/>
      <c r="X44" s="5"/>
    </row>
    <row r="45" spans="1:24">
      <c r="B45" s="35" t="s">
        <v>136</v>
      </c>
      <c r="F45" s="490" t="s">
        <v>145</v>
      </c>
      <c r="H45" s="9">
        <f>FICHA!J7*FICHA!K7</f>
        <v>3467.9603298543998</v>
      </c>
      <c r="I45" s="54">
        <f t="shared" ca="1" si="6"/>
        <v>6.8745215358929341</v>
      </c>
      <c r="K45" s="67">
        <f t="shared" ca="1" si="7"/>
        <v>7.5201693615934784E-4</v>
      </c>
      <c r="L45" s="5"/>
      <c r="X45" s="5"/>
    </row>
    <row r="46" spans="1:24">
      <c r="B46" s="35" t="s">
        <v>137</v>
      </c>
      <c r="F46" s="490" t="s">
        <v>145</v>
      </c>
      <c r="H46" s="9">
        <f>FICHA!J8*FICHA!K8</f>
        <v>669.41120144940021</v>
      </c>
      <c r="I46" s="54">
        <f t="shared" ca="1" si="6"/>
        <v>1.3269706925756766</v>
      </c>
      <c r="K46" s="67">
        <f t="shared" ca="1" si="7"/>
        <v>1.4515983830929843E-4</v>
      </c>
      <c r="L46" s="5"/>
      <c r="X46" s="5"/>
    </row>
    <row r="47" spans="1:24">
      <c r="B47" s="131" t="s">
        <v>115</v>
      </c>
      <c r="D47" s="46"/>
      <c r="F47" s="490"/>
      <c r="H47" s="132">
        <f>SUM(FICHA!J28:J29)</f>
        <v>50528.61</v>
      </c>
      <c r="I47" s="133">
        <f t="shared" ca="1" si="6"/>
        <v>100.16262718850615</v>
      </c>
      <c r="K47" s="134">
        <f t="shared" ca="1" si="7"/>
        <v>1.0956979569078843E-2</v>
      </c>
      <c r="L47" s="5"/>
      <c r="X47" s="5"/>
    </row>
    <row r="48" spans="1:24" s="41" customFormat="1" ht="4.5" customHeight="1" thickBot="1">
      <c r="E48" s="23"/>
      <c r="F48" s="501"/>
      <c r="G48" s="23"/>
      <c r="H48" s="46"/>
      <c r="I48" s="55"/>
      <c r="K48" s="61"/>
      <c r="L48" s="5"/>
      <c r="X48" s="5"/>
    </row>
    <row r="49" spans="2:24" s="148" customFormat="1" ht="17.100000000000001" customHeight="1" thickBot="1">
      <c r="B49" s="477" t="s">
        <v>149</v>
      </c>
      <c r="C49" s="485"/>
      <c r="D49" s="485"/>
      <c r="E49" s="486"/>
      <c r="F49" s="64"/>
      <c r="G49" s="487"/>
      <c r="H49" s="482">
        <f ca="1">SUM(H36:H38)</f>
        <v>4611545.5159371039</v>
      </c>
      <c r="I49" s="483">
        <f ca="1">SUM(I36:I38)</f>
        <v>9141.4450996303949</v>
      </c>
      <c r="J49" s="5"/>
      <c r="K49" s="484">
        <f ca="1">SUM(K36:K38)</f>
        <v>1</v>
      </c>
      <c r="L49" s="5"/>
      <c r="X49" s="5"/>
    </row>
    <row r="50" spans="2:24" s="41" customFormat="1" ht="12.95" customHeight="1">
      <c r="B50" s="10" t="s">
        <v>224</v>
      </c>
      <c r="C50" s="10"/>
      <c r="D50" s="144"/>
      <c r="E50" s="145">
        <f ca="1">FICHA!F31</f>
        <v>504.4657016124898</v>
      </c>
      <c r="F50" s="65"/>
      <c r="G50" s="65"/>
      <c r="L50" s="5"/>
      <c r="X50" s="5"/>
    </row>
    <row r="51" spans="2:24" s="41" customFormat="1" ht="10.5" customHeight="1">
      <c r="B51" s="7" t="s">
        <v>161</v>
      </c>
      <c r="C51" s="10"/>
      <c r="D51" s="10"/>
      <c r="E51" s="10"/>
      <c r="L51" s="5"/>
      <c r="X51" s="5"/>
    </row>
    <row r="52" spans="2:24" s="5" customFormat="1" ht="18">
      <c r="H52" s="168"/>
      <c r="M52" s="154" t="str">
        <f>A1</f>
        <v>Estructura de Costos de Renovación de Café</v>
      </c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</row>
    <row r="53" spans="2:24" s="5" customFormat="1" ht="18">
      <c r="M53" s="154" t="str">
        <f>A2</f>
        <v>Recomendación Técnica Nacional</v>
      </c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</row>
    <row r="54" spans="2:24" s="5" customFormat="1" ht="18">
      <c r="M54" s="154" t="str">
        <f>A3</f>
        <v>Cosecha 2025-2026 (Abr-Mar)</v>
      </c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</row>
    <row r="55" spans="2:24" s="5" customFormat="1" ht="18">
      <c r="M55" s="154" t="s">
        <v>148</v>
      </c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</row>
    <row r="56" spans="2:24" s="5" customFormat="1" ht="21.75" thickBot="1">
      <c r="M56" s="156"/>
    </row>
    <row r="57" spans="2:24" s="5" customFormat="1" ht="15" customHeight="1" thickBot="1">
      <c r="M57" s="148"/>
      <c r="N57" s="148"/>
      <c r="O57" s="149" t="s">
        <v>99</v>
      </c>
      <c r="P57" s="503" t="s">
        <v>5</v>
      </c>
      <c r="Q57" s="149" t="s">
        <v>1</v>
      </c>
      <c r="R57" s="503" t="s">
        <v>5</v>
      </c>
      <c r="S57" s="149"/>
      <c r="T57" s="477" t="s">
        <v>2</v>
      </c>
      <c r="U57" s="478"/>
      <c r="V57" s="148"/>
      <c r="W57" s="148"/>
    </row>
    <row r="58" spans="2:24" s="5" customFormat="1" ht="15" customHeight="1" thickBot="1">
      <c r="M58" s="148"/>
      <c r="N58" s="150" t="s">
        <v>100</v>
      </c>
      <c r="O58" s="151" t="s">
        <v>101</v>
      </c>
      <c r="P58" s="504" t="s">
        <v>102</v>
      </c>
      <c r="Q58" s="151" t="s">
        <v>103</v>
      </c>
      <c r="R58" s="504" t="s">
        <v>1</v>
      </c>
      <c r="S58" s="151"/>
      <c r="T58" s="151" t="s">
        <v>141</v>
      </c>
      <c r="U58" s="152" t="s">
        <v>191</v>
      </c>
      <c r="V58" s="151"/>
      <c r="W58" s="153" t="s">
        <v>25</v>
      </c>
    </row>
    <row r="59" spans="2:24" ht="4.5" customHeight="1">
      <c r="M59" s="41"/>
      <c r="N59" s="41"/>
      <c r="O59" s="41"/>
      <c r="P59" s="488"/>
      <c r="Q59" s="41"/>
      <c r="R59" s="488"/>
      <c r="S59" s="41"/>
      <c r="T59" s="41"/>
      <c r="U59" s="47"/>
      <c r="V59" s="41"/>
      <c r="W59" s="66"/>
    </row>
    <row r="60" spans="2:24">
      <c r="M60" s="48">
        <v>1</v>
      </c>
      <c r="N60" s="48" t="s">
        <v>104</v>
      </c>
      <c r="O60" s="48"/>
      <c r="P60" s="489"/>
      <c r="Q60" s="58"/>
      <c r="R60" s="489"/>
      <c r="S60" s="48"/>
      <c r="T60" s="49">
        <f>SUM(T61:T62)</f>
        <v>528736.50502400007</v>
      </c>
      <c r="U60" s="50">
        <f ca="1">SUM(U61:U62)</f>
        <v>1048.1119000438093</v>
      </c>
      <c r="V60" s="51"/>
      <c r="W60" s="52">
        <f ca="1">SUM(W61:W62)</f>
        <v>0.31004524830686486</v>
      </c>
    </row>
    <row r="61" spans="2:24">
      <c r="N61" s="41" t="s">
        <v>105</v>
      </c>
      <c r="O61" s="20">
        <f>FICHA!G5</f>
        <v>224</v>
      </c>
      <c r="P61" s="490" t="s">
        <v>157</v>
      </c>
      <c r="Q61" s="9">
        <f>E10</f>
        <v>1627.21</v>
      </c>
      <c r="R61" s="495" t="s">
        <v>159</v>
      </c>
      <c r="T61" s="53">
        <f>O61*Q61</f>
        <v>364495.04000000004</v>
      </c>
      <c r="U61" s="54">
        <f ca="1">T61/$Q$95</f>
        <v>722.53681238370973</v>
      </c>
      <c r="W61" s="67">
        <f ca="1">U61/$U$94</f>
        <v>0.21373586674952769</v>
      </c>
    </row>
    <row r="62" spans="2:24">
      <c r="N62" s="35" t="s">
        <v>106</v>
      </c>
      <c r="O62" s="17">
        <f>C11</f>
        <v>45.06</v>
      </c>
      <c r="P62" s="490" t="s">
        <v>107</v>
      </c>
      <c r="Q62" s="9"/>
      <c r="R62" s="495"/>
      <c r="T62" s="53">
        <f>T61*O62/100</f>
        <v>164241.46502400003</v>
      </c>
      <c r="U62" s="54">
        <f ca="1">T62/$Q$95</f>
        <v>325.57508766009965</v>
      </c>
      <c r="W62" s="67">
        <f ca="1">U62/$U$94</f>
        <v>9.630938155733719E-2</v>
      </c>
    </row>
    <row r="63" spans="2:24" ht="4.5" customHeight="1">
      <c r="M63" s="48"/>
      <c r="N63" s="41"/>
      <c r="O63" s="41"/>
      <c r="P63" s="488"/>
      <c r="Q63" s="53"/>
      <c r="R63" s="496"/>
      <c r="S63" s="23"/>
      <c r="T63" s="46"/>
      <c r="U63" s="55"/>
      <c r="V63" s="46"/>
      <c r="W63" s="68"/>
    </row>
    <row r="64" spans="2:24">
      <c r="M64" s="48">
        <v>2</v>
      </c>
      <c r="N64" s="48" t="s">
        <v>134</v>
      </c>
      <c r="O64" s="48"/>
      <c r="P64" s="489"/>
      <c r="Q64" s="9"/>
      <c r="R64" s="497"/>
      <c r="T64" s="49">
        <f ca="1">SUM(T65:T76)</f>
        <v>672845.32496666652</v>
      </c>
      <c r="U64" s="50">
        <f ca="1">SUM(U65:U76)</f>
        <v>1333.7781395562931</v>
      </c>
      <c r="W64" s="52">
        <f ca="1">SUM(W65:W76)</f>
        <v>0.39454906909053722</v>
      </c>
    </row>
    <row r="65" spans="13:23">
      <c r="M65" s="41"/>
      <c r="N65" t="s">
        <v>108</v>
      </c>
      <c r="O65" s="59">
        <f>ROUND(FICHA!F11*FICHA!G13,0)</f>
        <v>250</v>
      </c>
      <c r="P65" s="490" t="s">
        <v>109</v>
      </c>
      <c r="Q65" s="9">
        <f>E14</f>
        <v>294.9785</v>
      </c>
      <c r="R65" s="495" t="s">
        <v>138</v>
      </c>
      <c r="T65" s="53">
        <f t="shared" ref="T65:T81" si="8">O65*Q65</f>
        <v>73744.625</v>
      </c>
      <c r="U65" s="54">
        <f t="shared" ref="U65:U74" ca="1" si="9">T65/$Q$95</f>
        <v>146.18362509934846</v>
      </c>
      <c r="W65" s="67">
        <f t="shared" ref="W65:W73" ca="1" si="10">U65/$U$94</f>
        <v>4.324303382151342E-2</v>
      </c>
    </row>
    <row r="66" spans="13:23">
      <c r="M66" s="41"/>
      <c r="N66" s="172" t="s">
        <v>45</v>
      </c>
      <c r="O66" s="173">
        <f>FICHA!G19</f>
        <v>825</v>
      </c>
      <c r="P66" s="491" t="s">
        <v>111</v>
      </c>
      <c r="Q66" s="174">
        <f>E18</f>
        <v>379.52511111111113</v>
      </c>
      <c r="R66" s="498" t="s">
        <v>160</v>
      </c>
      <c r="S66" s="175"/>
      <c r="T66" s="176">
        <f t="shared" si="8"/>
        <v>313108.21666666667</v>
      </c>
      <c r="U66" s="177">
        <f t="shared" ca="1" si="9"/>
        <v>620.67295291996641</v>
      </c>
      <c r="V66" s="175"/>
      <c r="W66" s="178">
        <f t="shared" ca="1" si="10"/>
        <v>0.18360320095343111</v>
      </c>
    </row>
    <row r="67" spans="13:23">
      <c r="N67" s="179" t="s">
        <v>46</v>
      </c>
      <c r="O67" s="180">
        <f>FICHA!G20</f>
        <v>225</v>
      </c>
      <c r="P67" s="492" t="s">
        <v>111</v>
      </c>
      <c r="Q67" s="181">
        <f>E19</f>
        <v>312.77022222222223</v>
      </c>
      <c r="R67" s="499" t="s">
        <v>160</v>
      </c>
      <c r="S67" s="182"/>
      <c r="T67" s="183">
        <f t="shared" si="8"/>
        <v>70373.3</v>
      </c>
      <c r="U67" s="184">
        <f t="shared" ca="1" si="9"/>
        <v>139.50066332568619</v>
      </c>
      <c r="V67" s="182"/>
      <c r="W67" s="185">
        <f t="shared" ca="1" si="10"/>
        <v>4.1266126067242337E-2</v>
      </c>
    </row>
    <row r="68" spans="13:23">
      <c r="N68" s="148" t="s">
        <v>381</v>
      </c>
      <c r="O68" s="416">
        <f>FICHA!K16</f>
        <v>2.286</v>
      </c>
      <c r="P68" s="490" t="s">
        <v>388</v>
      </c>
      <c r="Q68" s="9">
        <f t="shared" ref="Q68:Q74" ca="1" si="11">E21</f>
        <v>35713.65</v>
      </c>
      <c r="R68" s="495" t="s">
        <v>140</v>
      </c>
      <c r="T68" s="53">
        <f t="shared" ca="1" si="8"/>
        <v>81641.403900000005</v>
      </c>
      <c r="U68" s="54">
        <f t="shared" ca="1" si="9"/>
        <v>161.8373729651766</v>
      </c>
      <c r="W68" s="67">
        <f t="shared" ca="1" si="10"/>
        <v>4.7873617773275513E-2</v>
      </c>
    </row>
    <row r="69" spans="13:23">
      <c r="N69" s="148" t="s">
        <v>382</v>
      </c>
      <c r="O69" s="416">
        <f>FICHA!K17</f>
        <v>0.68600000000000005</v>
      </c>
      <c r="P69" s="490" t="s">
        <v>111</v>
      </c>
      <c r="Q69" s="9">
        <f t="shared" si="11"/>
        <v>107138.45</v>
      </c>
      <c r="R69" s="495" t="s">
        <v>140</v>
      </c>
      <c r="T69" s="53">
        <f t="shared" si="8"/>
        <v>73496.976699999999</v>
      </c>
      <c r="U69" s="54">
        <f t="shared" ca="1" si="9"/>
        <v>145.69271303296139</v>
      </c>
      <c r="W69" s="67">
        <f t="shared" ca="1" si="10"/>
        <v>4.3097815592893503E-2</v>
      </c>
    </row>
    <row r="70" spans="13:23">
      <c r="N70" s="148" t="s">
        <v>383</v>
      </c>
      <c r="O70" s="416">
        <f>FICHA!K18</f>
        <v>1.714</v>
      </c>
      <c r="P70" s="490" t="s">
        <v>389</v>
      </c>
      <c r="Q70" s="9">
        <f t="shared" si="11"/>
        <v>10538.94</v>
      </c>
      <c r="R70" s="495" t="s">
        <v>391</v>
      </c>
      <c r="T70" s="53">
        <f t="shared" ref="T70" si="12">O70*Q70</f>
        <v>18063.743160000002</v>
      </c>
      <c r="U70" s="54">
        <f t="shared" ca="1" si="9"/>
        <v>35.807673548985576</v>
      </c>
      <c r="W70" s="67">
        <f t="shared" ca="1" si="10"/>
        <v>1.0592379531538899E-2</v>
      </c>
    </row>
    <row r="71" spans="13:23">
      <c r="N71" s="148" t="s">
        <v>508</v>
      </c>
      <c r="O71" s="416">
        <f>FICHA!K19</f>
        <v>0.57099999999999995</v>
      </c>
      <c r="P71" s="490" t="s">
        <v>116</v>
      </c>
      <c r="Q71" s="9">
        <f t="shared" si="11"/>
        <v>12025.82</v>
      </c>
      <c r="R71" s="495" t="s">
        <v>140</v>
      </c>
      <c r="T71" s="53">
        <f t="shared" si="8"/>
        <v>6866.7432199999994</v>
      </c>
      <c r="U71" s="54">
        <f t="shared" ca="1" si="9"/>
        <v>13.611912956720207</v>
      </c>
      <c r="W71" s="67">
        <f t="shared" ca="1" si="10"/>
        <v>4.0265824025291054E-3</v>
      </c>
    </row>
    <row r="72" spans="13:23">
      <c r="N72" s="410" t="s">
        <v>385</v>
      </c>
      <c r="O72" s="417">
        <f>FICHA!K20</f>
        <v>2.3199999999999998</v>
      </c>
      <c r="P72" s="493" t="s">
        <v>116</v>
      </c>
      <c r="Q72" s="411">
        <f t="shared" si="11"/>
        <v>8703.3700000000008</v>
      </c>
      <c r="R72" s="500" t="s">
        <v>140</v>
      </c>
      <c r="S72" s="412"/>
      <c r="T72" s="413">
        <f t="shared" si="8"/>
        <v>20191.8184</v>
      </c>
      <c r="U72" s="414">
        <f t="shared" ca="1" si="9"/>
        <v>40.026147140347199</v>
      </c>
      <c r="V72" s="412"/>
      <c r="W72" s="415">
        <f t="shared" ca="1" si="10"/>
        <v>1.1840259354346938E-2</v>
      </c>
    </row>
    <row r="73" spans="13:23">
      <c r="N73" s="148" t="s">
        <v>386</v>
      </c>
      <c r="O73" s="416">
        <f>FICHA!K23</f>
        <v>4</v>
      </c>
      <c r="P73" s="490" t="s">
        <v>116</v>
      </c>
      <c r="Q73" s="9">
        <f t="shared" si="11"/>
        <v>3231.94</v>
      </c>
      <c r="R73" s="495" t="s">
        <v>140</v>
      </c>
      <c r="T73" s="53">
        <f t="shared" si="8"/>
        <v>12927.76</v>
      </c>
      <c r="U73" s="54">
        <f t="shared" ca="1" si="9"/>
        <v>25.626638161280951</v>
      </c>
      <c r="W73" s="67">
        <f t="shared" ca="1" si="10"/>
        <v>7.5806957173679889E-3</v>
      </c>
    </row>
    <row r="74" spans="13:23">
      <c r="N74" s="148" t="s">
        <v>501</v>
      </c>
      <c r="O74" s="416">
        <v>0</v>
      </c>
      <c r="P74" s="490" t="s">
        <v>116</v>
      </c>
      <c r="Q74" s="9">
        <f t="shared" si="11"/>
        <v>7745.96</v>
      </c>
      <c r="R74" s="495" t="s">
        <v>140</v>
      </c>
      <c r="T74" s="53">
        <f t="shared" ref="T74" si="13">O74*Q74</f>
        <v>0</v>
      </c>
      <c r="U74" s="54">
        <f t="shared" ca="1" si="9"/>
        <v>0</v>
      </c>
      <c r="W74" s="67">
        <f t="shared" ref="W74" ca="1" si="14">U74/$U$94</f>
        <v>0</v>
      </c>
    </row>
    <row r="75" spans="13:23">
      <c r="N75" s="410" t="s">
        <v>387</v>
      </c>
      <c r="O75" s="417">
        <f>FICHA!K25</f>
        <v>0.41599999999999998</v>
      </c>
      <c r="P75" s="493" t="s">
        <v>390</v>
      </c>
      <c r="Q75" s="411">
        <f t="shared" ref="Q75" si="15">E28</f>
        <v>5843.12</v>
      </c>
      <c r="R75" s="500" t="s">
        <v>391</v>
      </c>
      <c r="S75" s="412"/>
      <c r="T75" s="413">
        <f t="shared" si="8"/>
        <v>2430.73792</v>
      </c>
      <c r="U75" s="414">
        <f ca="1">T75/$Q$95</f>
        <v>4.8184404058200867</v>
      </c>
      <c r="V75" s="412"/>
      <c r="W75" s="415">
        <f ca="1">U75/$U$94</f>
        <v>1.4253578763983841E-3</v>
      </c>
    </row>
    <row r="76" spans="13:23" ht="7.5" customHeight="1" thickBot="1">
      <c r="M76" s="41"/>
      <c r="N76" s="41"/>
      <c r="O76" s="41"/>
      <c r="P76" s="494"/>
      <c r="Q76" s="23"/>
      <c r="R76" s="501"/>
      <c r="S76" s="23"/>
      <c r="T76" s="46"/>
      <c r="U76" s="55"/>
      <c r="V76" s="41"/>
      <c r="W76" s="61"/>
    </row>
    <row r="77" spans="13:23" s="5" customFormat="1" ht="17.100000000000001" customHeight="1" thickBot="1">
      <c r="M77" s="148"/>
      <c r="N77" s="479" t="s">
        <v>147</v>
      </c>
      <c r="O77" s="480"/>
      <c r="P77" s="480"/>
      <c r="Q77" s="481"/>
      <c r="R77" s="481"/>
      <c r="S77" s="481"/>
      <c r="T77" s="482">
        <f ca="1">SUM(T60,T64)</f>
        <v>1201581.8299906666</v>
      </c>
      <c r="U77" s="483">
        <f ca="1">SUM(U60,U64)</f>
        <v>2381.8900396001027</v>
      </c>
      <c r="V77" s="62"/>
      <c r="W77" s="484">
        <f ca="1">SUM(W60,W64)</f>
        <v>0.70459431739740208</v>
      </c>
    </row>
    <row r="78" spans="13:23" ht="4.5" customHeight="1">
      <c r="M78" s="41"/>
      <c r="N78" s="41"/>
      <c r="O78" s="41"/>
      <c r="P78" s="490"/>
      <c r="Q78" s="23"/>
      <c r="R78" s="502"/>
      <c r="S78" s="23"/>
      <c r="T78" s="46"/>
      <c r="U78" s="55"/>
      <c r="V78" s="41"/>
      <c r="W78" s="69"/>
    </row>
    <row r="79" spans="13:23">
      <c r="M79" s="48">
        <v>3</v>
      </c>
      <c r="N79" s="48" t="s">
        <v>133</v>
      </c>
      <c r="O79" s="48"/>
      <c r="P79" s="489"/>
      <c r="Q79" s="9"/>
      <c r="R79" s="497"/>
      <c r="T79" s="49">
        <f>SUM(T80:T82)</f>
        <v>21488.87</v>
      </c>
      <c r="U79" s="50">
        <f ca="1">SUM(U80:U82)</f>
        <v>42.597286458350503</v>
      </c>
      <c r="W79" s="52">
        <f ca="1">SUM(W80:W82)</f>
        <v>1.2600836090713118E-2</v>
      </c>
    </row>
    <row r="80" spans="13:23">
      <c r="N80" s="41" t="s">
        <v>117</v>
      </c>
      <c r="O80" s="60">
        <f>SUM(O66:O67)</f>
        <v>1050</v>
      </c>
      <c r="P80" s="490" t="s">
        <v>111</v>
      </c>
      <c r="Q80" s="9">
        <f>E33</f>
        <v>14.318899999999999</v>
      </c>
      <c r="R80" s="495" t="s">
        <v>139</v>
      </c>
      <c r="T80" s="53">
        <f t="shared" si="8"/>
        <v>15034.844999999999</v>
      </c>
      <c r="U80" s="54">
        <f ca="1">T80/$Q$95</f>
        <v>29.803502898100216</v>
      </c>
      <c r="W80" s="67">
        <f ca="1">U80/$U$94</f>
        <v>8.8162670952115062E-3</v>
      </c>
    </row>
    <row r="81" spans="13:23">
      <c r="N81" s="14" t="s">
        <v>118</v>
      </c>
      <c r="O81" s="59">
        <f>O65</f>
        <v>250</v>
      </c>
      <c r="P81" s="490" t="s">
        <v>109</v>
      </c>
      <c r="Q81" s="9">
        <f>FICHA!F25</f>
        <v>25.816099999999999</v>
      </c>
      <c r="R81" s="495" t="s">
        <v>138</v>
      </c>
      <c r="T81" s="53">
        <f t="shared" si="8"/>
        <v>6454.0249999999996</v>
      </c>
      <c r="U81" s="54">
        <f ca="1">T81/$Q$95</f>
        <v>12.793783560250288</v>
      </c>
      <c r="W81" s="67">
        <f ca="1">U81/$U$94</f>
        <v>3.7845689955016129E-3</v>
      </c>
    </row>
    <row r="82" spans="13:23" ht="4.5" customHeight="1" thickBot="1">
      <c r="M82" s="41"/>
      <c r="N82" s="41"/>
      <c r="O82" s="41"/>
      <c r="P82" s="494"/>
      <c r="Q82" s="23"/>
      <c r="R82" s="501"/>
      <c r="S82" s="23"/>
      <c r="T82" s="46"/>
      <c r="U82" s="55"/>
      <c r="V82" s="41"/>
      <c r="W82" s="61"/>
    </row>
    <row r="83" spans="13:23" s="5" customFormat="1" ht="17.100000000000001" customHeight="1" thickBot="1">
      <c r="M83" s="148"/>
      <c r="N83" s="479" t="s">
        <v>242</v>
      </c>
      <c r="O83" s="480"/>
      <c r="P83" s="480"/>
      <c r="Q83" s="481"/>
      <c r="R83" s="481"/>
      <c r="S83" s="481"/>
      <c r="T83" s="482">
        <f ca="1">SUM(T77:T79)</f>
        <v>1223070.6999906667</v>
      </c>
      <c r="U83" s="483">
        <f ca="1">SUM(U77:U79)</f>
        <v>2424.4873260584532</v>
      </c>
      <c r="V83" s="62"/>
      <c r="W83" s="484">
        <f ca="1">SUM(W77:W79)</f>
        <v>0.71719515348811524</v>
      </c>
    </row>
    <row r="84" spans="13:23" ht="4.5" customHeight="1">
      <c r="M84" s="41"/>
      <c r="N84" s="41"/>
      <c r="O84" s="41"/>
      <c r="P84" s="490"/>
      <c r="Q84" s="23"/>
      <c r="R84" s="490"/>
      <c r="S84" s="23"/>
      <c r="T84" s="46"/>
      <c r="U84" s="55"/>
      <c r="V84" s="41"/>
      <c r="W84" s="69"/>
    </row>
    <row r="85" spans="13:23">
      <c r="M85" s="48">
        <v>4</v>
      </c>
      <c r="N85" s="48" t="s">
        <v>240</v>
      </c>
      <c r="O85" s="48"/>
      <c r="P85" s="489"/>
      <c r="Q85" s="9"/>
      <c r="R85" s="489"/>
      <c r="T85" s="49">
        <f>SUM(T86:T87)</f>
        <v>289140.79680000001</v>
      </c>
      <c r="U85" s="50">
        <f ca="1">SUM(U86:U87)</f>
        <v>573.16244865762212</v>
      </c>
      <c r="W85" s="52">
        <f ca="1">SUM(W86:W87)</f>
        <v>0.1695489705887275</v>
      </c>
    </row>
    <row r="86" spans="13:23">
      <c r="N86" s="41" t="s">
        <v>239</v>
      </c>
      <c r="O86" s="60">
        <f>FICHA!G29</f>
        <v>9</v>
      </c>
      <c r="P86" s="490" t="s">
        <v>247</v>
      </c>
      <c r="Q86" s="9">
        <f>FICHA!F9</f>
        <v>30426.938000000002</v>
      </c>
      <c r="R86" s="490" t="s">
        <v>248</v>
      </c>
      <c r="T86" s="53">
        <f>O86*Q86</f>
        <v>273842.44200000004</v>
      </c>
      <c r="U86" s="54">
        <f ca="1">T86/$Q$95</f>
        <v>542.83659151589802</v>
      </c>
      <c r="W86" s="67">
        <f ca="1">U86/$U$94</f>
        <v>0.16057818425643669</v>
      </c>
    </row>
    <row r="87" spans="13:23" ht="13.5" thickBot="1">
      <c r="N87" s="14" t="s">
        <v>241</v>
      </c>
      <c r="O87" s="60">
        <f>O86</f>
        <v>9</v>
      </c>
      <c r="P87" s="490" t="s">
        <v>247</v>
      </c>
      <c r="Q87" s="9">
        <f>FICHA!G26</f>
        <v>1699.8172</v>
      </c>
      <c r="R87" s="490" t="s">
        <v>248</v>
      </c>
      <c r="T87" s="53">
        <f>O87*Q87</f>
        <v>15298.354799999999</v>
      </c>
      <c r="U87" s="54">
        <f ca="1">T87/$Q$95</f>
        <v>30.325857141724132</v>
      </c>
      <c r="W87" s="67">
        <f ca="1">U87/$U$94</f>
        <v>8.970786332290823E-3</v>
      </c>
    </row>
    <row r="88" spans="13:23" ht="4.5" customHeight="1">
      <c r="M88" s="41"/>
      <c r="N88" s="41"/>
      <c r="O88" s="41"/>
      <c r="P88" s="63"/>
      <c r="Q88" s="23"/>
      <c r="R88" s="63"/>
      <c r="S88" s="23"/>
      <c r="T88" s="46"/>
      <c r="U88" s="55"/>
      <c r="V88" s="41"/>
      <c r="W88" s="67"/>
    </row>
    <row r="89" spans="13:23" ht="13.5" thickBot="1">
      <c r="M89" s="48">
        <v>5</v>
      </c>
      <c r="N89" s="48" t="s">
        <v>112</v>
      </c>
      <c r="P89" s="48"/>
      <c r="R89" s="48"/>
      <c r="T89" s="49">
        <f>SUM(T90:T92)</f>
        <v>193141.21514861495</v>
      </c>
      <c r="U89" s="50">
        <f ca="1">SUM(U90:U92)</f>
        <v>382.86292711526755</v>
      </c>
      <c r="W89" s="70">
        <f ca="1">SUM(W90:W92)</f>
        <v>0.11325587592315722</v>
      </c>
    </row>
    <row r="90" spans="13:23">
      <c r="N90" s="41" t="s">
        <v>113</v>
      </c>
      <c r="P90" s="46"/>
      <c r="R90" s="505" t="s">
        <v>145</v>
      </c>
      <c r="T90" s="9">
        <f>H39</f>
        <v>26021.495034274994</v>
      </c>
      <c r="U90" s="54">
        <f ca="1">T90/$Q$95</f>
        <v>51.582287856437183</v>
      </c>
      <c r="W90" s="67">
        <f ca="1">U90/$U$94</f>
        <v>1.5258717362160255E-2</v>
      </c>
    </row>
    <row r="91" spans="13:23">
      <c r="N91" s="41" t="s">
        <v>114</v>
      </c>
      <c r="R91" s="490" t="s">
        <v>145</v>
      </c>
      <c r="T91" s="9">
        <f>H42</f>
        <v>116591.11011433999</v>
      </c>
      <c r="U91" s="54">
        <f ca="1">T91/$Q$95</f>
        <v>231.1180120703242</v>
      </c>
      <c r="V91" s="41"/>
      <c r="W91" s="67">
        <f ca="1">U91/$U$94</f>
        <v>6.8367739587287882E-2</v>
      </c>
    </row>
    <row r="92" spans="13:23">
      <c r="N92" s="41" t="s">
        <v>115</v>
      </c>
      <c r="R92" s="490" t="s">
        <v>145</v>
      </c>
      <c r="T92" s="9">
        <f>H47</f>
        <v>50528.61</v>
      </c>
      <c r="U92" s="54">
        <f ca="1">T92/$Q$95</f>
        <v>100.16262718850615</v>
      </c>
      <c r="V92" s="62"/>
      <c r="W92" s="67">
        <f ca="1">U92/$U$94</f>
        <v>2.9629418973709083E-2</v>
      </c>
    </row>
    <row r="93" spans="13:23" ht="4.5" customHeight="1" thickBot="1">
      <c r="M93" s="41"/>
      <c r="N93" s="41"/>
      <c r="O93" s="41"/>
      <c r="P93" s="41"/>
      <c r="Q93" s="23"/>
      <c r="R93" s="501"/>
      <c r="S93" s="23"/>
      <c r="T93" s="46"/>
      <c r="U93" s="55"/>
      <c r="V93" s="41"/>
      <c r="W93" s="61"/>
    </row>
    <row r="94" spans="13:23" s="5" customFormat="1" ht="17.100000000000001" customHeight="1" thickBot="1">
      <c r="M94" s="148"/>
      <c r="N94" s="477" t="s">
        <v>183</v>
      </c>
      <c r="O94" s="485"/>
      <c r="P94" s="485"/>
      <c r="Q94" s="486"/>
      <c r="R94" s="64"/>
      <c r="S94" s="487"/>
      <c r="T94" s="482">
        <f ca="1">SUM(T83:T85,T89)</f>
        <v>1705352.7119392816</v>
      </c>
      <c r="U94" s="483">
        <f ca="1">SUM(U83:U85,U89)</f>
        <v>3380.5127018313428</v>
      </c>
      <c r="W94" s="484">
        <f ca="1">SUM(W83:W85,W89)</f>
        <v>1</v>
      </c>
    </row>
    <row r="95" spans="13:23" ht="12.95" customHeight="1">
      <c r="M95" s="41"/>
      <c r="N95" s="10" t="str">
        <f>B50</f>
        <v>*/ Tipo de Cambio Promedio de la Cosecha [BCCR]- CRC/USD:</v>
      </c>
      <c r="O95" s="10"/>
      <c r="P95" s="144"/>
      <c r="Q95" s="145">
        <f ca="1">E50</f>
        <v>504.4657016124898</v>
      </c>
      <c r="R95" s="65"/>
      <c r="S95" s="65"/>
      <c r="T95" s="41"/>
      <c r="U95" s="41"/>
      <c r="V95" s="41"/>
      <c r="W95" s="41"/>
    </row>
    <row r="96" spans="13:23" ht="10.5" customHeight="1">
      <c r="M96" s="41"/>
      <c r="N96" s="7" t="str">
        <f>B51</f>
        <v>Fuente: Instituto del Café de Costa Rica (ICAFE).</v>
      </c>
      <c r="O96" s="10"/>
      <c r="P96" s="10"/>
      <c r="Q96" s="10"/>
      <c r="R96" s="41"/>
      <c r="S96" s="41"/>
      <c r="T96" s="41"/>
      <c r="U96" s="41"/>
      <c r="V96" s="41"/>
      <c r="W96" s="41"/>
    </row>
    <row r="97" spans="20:20">
      <c r="T97" s="11"/>
    </row>
    <row r="98" spans="20:20">
      <c r="T98" s="11"/>
    </row>
  </sheetData>
  <sheetProtection algorithmName="SHA-512" hashValue="M7cOd0vXh+2xooPSluH3ib7r1AZgr492SrDLhj5xjqdI5eES3oyxDhZ6c4OfQkuhW1ecsEA6/XFwMfCbZjQeFw==" saltValue="+ufFRDcfmJqKbmAqrOGbpQ==" spinCount="100000" sheet="1" objects="1" scenarios="1"/>
  <phoneticPr fontId="14" type="noConversion"/>
  <printOptions horizontalCentered="1" verticalCentered="1"/>
  <pageMargins left="0.59055118110236227" right="0.59055118110236227" top="1.3385826771653544" bottom="0.78740157480314965" header="0" footer="0"/>
  <pageSetup scale="90" orientation="portrait" r:id="rId1"/>
  <headerFooter alignWithMargins="0"/>
  <rowBreaks count="1" manualBreakCount="1">
    <brk id="51" max="16383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Q46"/>
  <sheetViews>
    <sheetView showGridLines="0" topLeftCell="B1" workbookViewId="0">
      <selection activeCell="C1" sqref="C1:J45"/>
    </sheetView>
  </sheetViews>
  <sheetFormatPr baseColWidth="10" defaultRowHeight="14.25"/>
  <cols>
    <col min="1" max="1" width="9.140625" style="567" hidden="1" customWidth="1"/>
    <col min="2" max="2" width="4.42578125" customWidth="1"/>
    <col min="3" max="3" width="1.5703125" customWidth="1"/>
    <col min="4" max="4" width="29" style="74" customWidth="1"/>
    <col min="5" max="5" width="5.7109375" style="74" customWidth="1"/>
    <col min="6" max="6" width="13" customWidth="1"/>
    <col min="7" max="7" width="13.28515625" customWidth="1"/>
    <col min="8" max="8" width="15" customWidth="1"/>
    <col min="9" max="9" width="2" customWidth="1"/>
    <col min="10" max="10" width="18.5703125" customWidth="1"/>
    <col min="11" max="11" width="13.85546875" customWidth="1"/>
    <col min="12" max="15" width="7.28515625" style="10" customWidth="1"/>
  </cols>
  <sheetData>
    <row r="1" spans="1:17" ht="23.25">
      <c r="C1" s="73" t="s">
        <v>184</v>
      </c>
      <c r="E1" s="75"/>
      <c r="F1" s="76"/>
      <c r="G1" s="76"/>
      <c r="H1" s="76"/>
      <c r="J1" s="76"/>
      <c r="L1" s="730" t="str">
        <f>FICHA!N15</f>
        <v>A</v>
      </c>
      <c r="M1" s="515" t="str">
        <f>_xlfn.CONCAT("  =&gt; Fincas de ",LOOKUP(L1,L3:O3,L5:O5)," ha")</f>
        <v xml:space="preserve">  =&gt; Fincas de 1.5 a 6.0 ha</v>
      </c>
    </row>
    <row r="2" spans="1:17" ht="27">
      <c r="C2" s="77" t="s">
        <v>126</v>
      </c>
      <c r="E2" s="75"/>
      <c r="F2" s="76"/>
      <c r="G2" s="76"/>
      <c r="H2" s="76"/>
      <c r="J2" s="76"/>
      <c r="L2" s="754" t="s">
        <v>404</v>
      </c>
      <c r="M2" s="755"/>
      <c r="N2" s="755"/>
      <c r="O2" s="755"/>
      <c r="P2" s="755"/>
      <c r="Q2" s="756"/>
    </row>
    <row r="3" spans="1:17" ht="15" thickBot="1">
      <c r="L3" s="210" t="s">
        <v>405</v>
      </c>
      <c r="M3" s="210" t="s">
        <v>406</v>
      </c>
      <c r="N3" s="210" t="s">
        <v>407</v>
      </c>
      <c r="O3" s="210" t="s">
        <v>408</v>
      </c>
    </row>
    <row r="4" spans="1:17" ht="16.5" thickTop="1" thickBot="1">
      <c r="A4" s="568" t="s">
        <v>235</v>
      </c>
      <c r="C4" s="746" t="s">
        <v>119</v>
      </c>
      <c r="D4" s="747"/>
      <c r="E4" s="747"/>
      <c r="F4" s="750" t="s">
        <v>0</v>
      </c>
      <c r="G4" s="752" t="s">
        <v>5</v>
      </c>
      <c r="H4" s="506" t="s">
        <v>181</v>
      </c>
      <c r="I4" s="74"/>
      <c r="J4" s="507" t="s">
        <v>166</v>
      </c>
      <c r="L4" s="516" t="s">
        <v>409</v>
      </c>
      <c r="M4" s="517"/>
      <c r="N4" s="517"/>
      <c r="O4" s="518"/>
    </row>
    <row r="5" spans="1:17" ht="16.5" thickTop="1" thickBot="1">
      <c r="A5" s="569" t="s">
        <v>423</v>
      </c>
      <c r="C5" s="748"/>
      <c r="D5" s="749"/>
      <c r="E5" s="749"/>
      <c r="F5" s="751"/>
      <c r="G5" s="753"/>
      <c r="H5" s="508" t="s">
        <v>165</v>
      </c>
      <c r="I5" s="74"/>
      <c r="J5" s="509" t="s">
        <v>120</v>
      </c>
      <c r="L5" s="519" t="s">
        <v>410</v>
      </c>
      <c r="M5" s="520" t="s">
        <v>411</v>
      </c>
      <c r="N5" s="520" t="s">
        <v>412</v>
      </c>
      <c r="O5" s="521" t="s">
        <v>413</v>
      </c>
    </row>
    <row r="6" spans="1:17" ht="25.5" customHeight="1" thickTop="1">
      <c r="A6" s="570">
        <f>IF(UNIT!Z1=1,UNIT!$AD$104,UNIT!$AF$104)</f>
        <v>2.2200000000000001E-2</v>
      </c>
      <c r="C6" s="78" t="s">
        <v>179</v>
      </c>
      <c r="D6" s="79"/>
      <c r="E6" s="79"/>
      <c r="F6" s="80"/>
      <c r="G6" s="81"/>
      <c r="H6" s="82"/>
      <c r="J6" s="83">
        <f>IF(SUM(J7:J8)=0,"-",SUM(J7:J8))</f>
        <v>453069.91495499993</v>
      </c>
      <c r="L6" s="522"/>
      <c r="M6" s="522"/>
      <c r="N6" s="522"/>
      <c r="O6" s="522"/>
    </row>
    <row r="7" spans="1:17" ht="14.1" customHeight="1">
      <c r="C7" s="5"/>
      <c r="D7" s="84" t="s">
        <v>48</v>
      </c>
      <c r="E7" s="84"/>
      <c r="F7" s="85" t="str">
        <f>LOOKUP($L$1,$L$3:$O$3,L7:O7)</f>
        <v>-</v>
      </c>
      <c r="G7" s="86" t="s">
        <v>127</v>
      </c>
      <c r="H7" s="130">
        <f>IF(UNIT!$Z$1=1,UNIT!AD75,UNIT!AF75)</f>
        <v>74515.929999999993</v>
      </c>
      <c r="I7" s="84"/>
      <c r="J7" s="87" t="str">
        <f>IF(F7="-","-",F7*H7)</f>
        <v>-</v>
      </c>
      <c r="L7" s="523" t="s">
        <v>49</v>
      </c>
      <c r="M7" s="523">
        <v>8.5953999999999997</v>
      </c>
      <c r="N7" s="523">
        <v>12.8926</v>
      </c>
      <c r="O7" s="524">
        <v>7.1657000000000002</v>
      </c>
    </row>
    <row r="8" spans="1:17" ht="14.1" customHeight="1">
      <c r="C8" s="5"/>
      <c r="D8" s="84" t="s">
        <v>121</v>
      </c>
      <c r="E8" s="565"/>
      <c r="F8" s="566">
        <f t="shared" ref="F8" si="0">LOOKUP($L$1,$L$3:$O$3,L8:O8)</f>
        <v>8.1068999999999996</v>
      </c>
      <c r="G8" s="89" t="s">
        <v>127</v>
      </c>
      <c r="H8" s="130">
        <f>IF(UNIT!$Z$1=1,UNIT!AD76,UNIT!AF76)</f>
        <v>55886.95</v>
      </c>
      <c r="I8" s="90"/>
      <c r="J8" s="87">
        <f>IF(F8="-","-",F8*H8)</f>
        <v>453069.91495499993</v>
      </c>
      <c r="L8" s="525">
        <v>8.1068999999999996</v>
      </c>
      <c r="M8" s="525">
        <v>3.4584000000000001</v>
      </c>
      <c r="N8" s="525">
        <v>3.5495999999999999</v>
      </c>
      <c r="O8" s="526">
        <v>1.7603</v>
      </c>
    </row>
    <row r="9" spans="1:17" ht="6" customHeight="1">
      <c r="D9" s="79"/>
      <c r="E9" s="79"/>
      <c r="F9" s="91"/>
      <c r="G9" s="92"/>
      <c r="H9" s="93"/>
      <c r="I9" s="84"/>
      <c r="J9" s="87"/>
      <c r="L9" s="527"/>
      <c r="M9" s="527"/>
      <c r="N9" s="527"/>
      <c r="O9" s="527"/>
    </row>
    <row r="10" spans="1:17" ht="19.5" customHeight="1">
      <c r="A10" s="571">
        <f>SUMPRODUCT(A11:A13,J11:J13)/J10</f>
        <v>6.2799999999999995E-2</v>
      </c>
      <c r="C10" s="78" t="s">
        <v>128</v>
      </c>
      <c r="D10" s="79"/>
      <c r="E10" s="79"/>
      <c r="F10" s="80"/>
      <c r="G10" s="81"/>
      <c r="H10" s="82"/>
      <c r="I10" s="74"/>
      <c r="J10" s="83">
        <f>IF(SUM(J11:J13)=0,"-",SUM(J11:J13))</f>
        <v>1630502.9692839999</v>
      </c>
      <c r="L10" s="528"/>
      <c r="M10" s="528"/>
      <c r="N10" s="528"/>
      <c r="O10" s="528"/>
    </row>
    <row r="11" spans="1:17" ht="14.1" customHeight="1">
      <c r="A11" s="572">
        <f>IF(UNIT!Z1=1,UNIT!$AD$106,UNIT!$AF$106)</f>
        <v>7.8200000000000006E-2</v>
      </c>
      <c r="C11" s="5"/>
      <c r="D11" s="84" t="str">
        <f>_xlfn.CONCAT("Tractor (60- 80 CV, ",MID(FICHA!E33,9,4)-28,")")</f>
        <v>Tractor (60- 80 CV, 1997)</v>
      </c>
      <c r="E11" s="84"/>
      <c r="F11" s="85" t="str">
        <f t="shared" ref="F11:F13" si="1">LOOKUP($L$1,$L$3:$O$3,L11:O11)</f>
        <v>-</v>
      </c>
      <c r="G11" s="86" t="s">
        <v>47</v>
      </c>
      <c r="H11" s="130">
        <f>IF(UNIT!$Z$1=1,UNIT!AD77,UNIT!AF77)</f>
        <v>5668910.1500000004</v>
      </c>
      <c r="I11" s="84"/>
      <c r="J11" s="87" t="str">
        <f>IF(F11="-","-",F11*H11)</f>
        <v>-</v>
      </c>
      <c r="L11" s="523" t="s">
        <v>49</v>
      </c>
      <c r="M11" s="523" t="s">
        <v>49</v>
      </c>
      <c r="N11" s="523" t="s">
        <v>49</v>
      </c>
      <c r="O11" s="524">
        <v>3.0800000000000001E-2</v>
      </c>
    </row>
    <row r="12" spans="1:17" ht="14.1" customHeight="1">
      <c r="A12" s="573">
        <f>IF(UNIT!Z1=1,UNIT!$AD$107,UNIT!$AF$107)</f>
        <v>6.2799999999999995E-2</v>
      </c>
      <c r="C12" s="5"/>
      <c r="D12" s="84" t="str">
        <f>_xlfn.CONCAT("Pick up (4x2 &amp; 4x4, ",MID(FICHA!E33,9,4)-22,")")</f>
        <v>Pick up (4x2 &amp; 4x4, 2003)</v>
      </c>
      <c r="E12" s="84"/>
      <c r="F12" s="94">
        <f t="shared" si="1"/>
        <v>0.2281</v>
      </c>
      <c r="G12" s="86" t="s">
        <v>47</v>
      </c>
      <c r="H12" s="130">
        <f>IF(UNIT!$Z$1=1,UNIT!AD78,UNIT!AF78)</f>
        <v>7148193.6399999997</v>
      </c>
      <c r="I12" s="84"/>
      <c r="J12" s="87">
        <f>IF(F12="-","-",F12*H12)</f>
        <v>1630502.9692839999</v>
      </c>
      <c r="L12" s="529">
        <v>0.2281</v>
      </c>
      <c r="M12" s="529">
        <v>0.10780000000000001</v>
      </c>
      <c r="N12" s="529">
        <v>8.5699999999999998E-2</v>
      </c>
      <c r="O12" s="530">
        <v>3.9800000000000002E-2</v>
      </c>
    </row>
    <row r="13" spans="1:17" ht="14.1" customHeight="1">
      <c r="A13" s="574">
        <f>IF(UNIT!Z1=1,UNIT!$AD$108,UNIT!$AF$108)</f>
        <v>2.5100000000000001E-2</v>
      </c>
      <c r="C13" s="5"/>
      <c r="D13" s="84" t="s">
        <v>122</v>
      </c>
      <c r="E13" s="84"/>
      <c r="F13" s="85" t="str">
        <f t="shared" si="1"/>
        <v>-</v>
      </c>
      <c r="G13" s="86" t="s">
        <v>47</v>
      </c>
      <c r="H13" s="130">
        <f>IF(UNIT!$Z$1=1,UNIT!AD79,UNIT!AF79)</f>
        <v>1035756.52</v>
      </c>
      <c r="I13" s="84"/>
      <c r="J13" s="87" t="str">
        <f>IF(F13="-","-",F13*H13)</f>
        <v>-</v>
      </c>
      <c r="L13" s="531" t="s">
        <v>49</v>
      </c>
      <c r="M13" s="531" t="s">
        <v>49</v>
      </c>
      <c r="N13" s="531" t="s">
        <v>49</v>
      </c>
      <c r="O13" s="532">
        <v>7.5499999999999998E-2</v>
      </c>
    </row>
    <row r="14" spans="1:17" ht="6" customHeight="1">
      <c r="D14" s="79"/>
      <c r="E14" s="79"/>
      <c r="F14" s="91"/>
      <c r="G14" s="92"/>
      <c r="H14" s="93"/>
      <c r="I14" s="84"/>
      <c r="J14" s="87"/>
      <c r="L14" s="527"/>
      <c r="M14" s="527"/>
      <c r="N14" s="527"/>
      <c r="O14" s="527"/>
    </row>
    <row r="15" spans="1:17" ht="19.5" customHeight="1">
      <c r="A15" s="570">
        <f>IF(UNIT!Z1=1,UNIT!$AD$109,UNIT!$AF$109)</f>
        <v>2.3599999999999999E-2</v>
      </c>
      <c r="C15" s="78" t="s">
        <v>129</v>
      </c>
      <c r="D15" s="79"/>
      <c r="E15" s="79"/>
      <c r="F15" s="80"/>
      <c r="G15" s="81"/>
      <c r="H15" s="82"/>
      <c r="I15" s="74"/>
      <c r="J15" s="83">
        <f>IF(SUM(J16:J19)=0,"-",SUM(J16:J19))</f>
        <v>146947.47160399999</v>
      </c>
      <c r="L15" s="528"/>
      <c r="M15" s="528"/>
      <c r="N15" s="528"/>
      <c r="O15" s="528"/>
    </row>
    <row r="16" spans="1:17" ht="14.1" customHeight="1">
      <c r="C16" s="5"/>
      <c r="D16" s="84" t="s">
        <v>461</v>
      </c>
      <c r="E16" s="84"/>
      <c r="F16" s="94" t="str">
        <f t="shared" ref="F16:F39" si="2">LOOKUP($L$1,$L$3:$O$3,L16:O16)</f>
        <v>-</v>
      </c>
      <c r="G16" s="86" t="s">
        <v>47</v>
      </c>
      <c r="H16" s="130">
        <f>IF(UNIT!$Z$1=1,UNIT!AD80,UNIT!AF80)</f>
        <v>319440.89</v>
      </c>
      <c r="I16" s="84"/>
      <c r="J16" s="87" t="str">
        <f>IF(F16="-","-",F16*H16)</f>
        <v>-</v>
      </c>
      <c r="L16" s="523" t="s">
        <v>49</v>
      </c>
      <c r="M16" s="523">
        <v>0.15129999999999999</v>
      </c>
      <c r="N16" s="523">
        <v>0.13450000000000001</v>
      </c>
      <c r="O16" s="524">
        <v>8.4599999999999995E-2</v>
      </c>
    </row>
    <row r="17" spans="1:15" ht="14.1" customHeight="1">
      <c r="C17" s="5"/>
      <c r="D17" s="84" t="s">
        <v>123</v>
      </c>
      <c r="E17" s="84"/>
      <c r="F17" s="94" t="str">
        <f t="shared" si="2"/>
        <v>-</v>
      </c>
      <c r="G17" s="86" t="s">
        <v>47</v>
      </c>
      <c r="H17" s="130">
        <f>IF(UNIT!$Z$1=1,UNIT!AD81,UNIT!AF81)</f>
        <v>300010.52</v>
      </c>
      <c r="I17" s="84"/>
      <c r="J17" s="87" t="str">
        <f>IF(F17="-","-",F17*H17)</f>
        <v>-</v>
      </c>
      <c r="L17" s="529" t="s">
        <v>49</v>
      </c>
      <c r="M17" s="529">
        <v>0.13389999999999999</v>
      </c>
      <c r="N17" s="529">
        <v>8.4900000000000003E-2</v>
      </c>
      <c r="O17" s="530">
        <v>5.0700000000000002E-2</v>
      </c>
    </row>
    <row r="18" spans="1:15" ht="14.1" customHeight="1">
      <c r="C18" s="5"/>
      <c r="D18" s="84" t="s">
        <v>124</v>
      </c>
      <c r="E18" s="84"/>
      <c r="F18" s="94">
        <f t="shared" si="2"/>
        <v>0.34239999999999998</v>
      </c>
      <c r="G18" s="86" t="s">
        <v>47</v>
      </c>
      <c r="H18" s="130">
        <f>IF(UNIT!$Z$1=1,UNIT!AD82,UNIT!AF82)</f>
        <v>328704.39</v>
      </c>
      <c r="I18" s="84"/>
      <c r="J18" s="87">
        <f>IF(F18="-","-",F18*H18)</f>
        <v>112548.383136</v>
      </c>
      <c r="L18" s="529">
        <v>0.34239999999999998</v>
      </c>
      <c r="M18" s="529">
        <v>0.14000000000000001</v>
      </c>
      <c r="N18" s="529">
        <v>8.5800000000000001E-2</v>
      </c>
      <c r="O18" s="530">
        <v>5.4199999999999998E-2</v>
      </c>
    </row>
    <row r="19" spans="1:15" ht="14.1" customHeight="1">
      <c r="C19" s="5"/>
      <c r="D19" s="84" t="s">
        <v>7</v>
      </c>
      <c r="E19" s="84"/>
      <c r="F19" s="94">
        <f t="shared" si="2"/>
        <v>0.63739999999999997</v>
      </c>
      <c r="G19" s="86" t="s">
        <v>47</v>
      </c>
      <c r="H19" s="130">
        <f>IF(UNIT!$Z$1=1,UNIT!AD83,UNIT!AF83)</f>
        <v>53967.82</v>
      </c>
      <c r="I19" s="84"/>
      <c r="J19" s="87">
        <f>IF(F19="-","-",F19*H19)</f>
        <v>34399.088467999994</v>
      </c>
      <c r="L19" s="531">
        <v>0.63739999999999997</v>
      </c>
      <c r="M19" s="531">
        <v>0.34660000000000002</v>
      </c>
      <c r="N19" s="531">
        <v>0.34089999999999998</v>
      </c>
      <c r="O19" s="532">
        <v>0.20419999999999999</v>
      </c>
    </row>
    <row r="20" spans="1:15" ht="6" customHeight="1">
      <c r="D20" s="79"/>
      <c r="E20" s="79"/>
      <c r="F20" s="91"/>
      <c r="G20" s="92"/>
      <c r="H20" s="93"/>
      <c r="I20" s="84"/>
      <c r="J20" s="87"/>
      <c r="L20" s="527"/>
      <c r="M20" s="527"/>
      <c r="N20" s="527"/>
      <c r="O20" s="527"/>
    </row>
    <row r="21" spans="1:15" ht="19.5" customHeight="1">
      <c r="A21" s="570">
        <f>IF(UNIT!Z1=1,UNIT!$AD$110,UNIT!$AF$110)</f>
        <v>9.4000000000000004E-3</v>
      </c>
      <c r="C21" s="78" t="s">
        <v>135</v>
      </c>
      <c r="D21" s="79"/>
      <c r="E21" s="79"/>
      <c r="F21" s="80"/>
      <c r="G21" s="81"/>
      <c r="H21" s="82"/>
      <c r="I21" s="74"/>
      <c r="J21" s="83">
        <f>IF(SUM(J22:J39)=0,"-",SUM(J22:J39))</f>
        <v>71213.957601000016</v>
      </c>
      <c r="L21" s="528"/>
      <c r="M21" s="528"/>
      <c r="N21" s="528"/>
      <c r="O21" s="528"/>
    </row>
    <row r="22" spans="1:15" ht="14.1" customHeight="1">
      <c r="C22" s="5"/>
      <c r="D22" s="84" t="s">
        <v>462</v>
      </c>
      <c r="E22" s="84"/>
      <c r="F22" s="94">
        <f t="shared" si="2"/>
        <v>0.7228</v>
      </c>
      <c r="G22" s="86" t="s">
        <v>47</v>
      </c>
      <c r="H22" s="130">
        <f>IF(UNIT!$Z$1=1,UNIT!AD84,UNIT!AF84)</f>
        <v>20504.189999999999</v>
      </c>
      <c r="I22" s="84"/>
      <c r="J22" s="87">
        <f t="shared" ref="J22:J39" si="3">IF(F22="-","-",F22*H22)</f>
        <v>14820.428532</v>
      </c>
      <c r="L22" s="523">
        <v>0.7228</v>
      </c>
      <c r="M22" s="523">
        <v>0.44629999999999997</v>
      </c>
      <c r="N22" s="523">
        <v>0.38340000000000002</v>
      </c>
      <c r="O22" s="524">
        <v>0.1908</v>
      </c>
    </row>
    <row r="23" spans="1:15" ht="14.1" customHeight="1">
      <c r="C23" s="5"/>
      <c r="D23" s="84" t="s">
        <v>8</v>
      </c>
      <c r="E23" s="84"/>
      <c r="F23" s="94">
        <f t="shared" si="2"/>
        <v>0.48970000000000002</v>
      </c>
      <c r="G23" s="86" t="s">
        <v>47</v>
      </c>
      <c r="H23" s="130">
        <f>IF(UNIT!$Z$1=1,UNIT!AD85,UNIT!AF85)</f>
        <v>15025.4</v>
      </c>
      <c r="I23" s="84"/>
      <c r="J23" s="87">
        <f t="shared" si="3"/>
        <v>7357.9383800000005</v>
      </c>
      <c r="L23" s="529">
        <v>0.48970000000000002</v>
      </c>
      <c r="M23" s="529">
        <v>0.27039999999999997</v>
      </c>
      <c r="N23" s="529">
        <v>0.22770000000000001</v>
      </c>
      <c r="O23" s="530" t="s">
        <v>49</v>
      </c>
    </row>
    <row r="24" spans="1:15" ht="14.1" customHeight="1">
      <c r="C24" s="5"/>
      <c r="D24" s="84" t="s">
        <v>10</v>
      </c>
      <c r="E24" s="84"/>
      <c r="F24" s="94">
        <f t="shared" si="2"/>
        <v>0.4819</v>
      </c>
      <c r="G24" s="86" t="s">
        <v>47</v>
      </c>
      <c r="H24" s="130">
        <f>IF(UNIT!$Z$1=1,UNIT!AD86,UNIT!AF86)</f>
        <v>6977.96</v>
      </c>
      <c r="I24" s="84"/>
      <c r="J24" s="87">
        <f t="shared" si="3"/>
        <v>3362.6789239999998</v>
      </c>
      <c r="L24" s="529">
        <v>0.4819</v>
      </c>
      <c r="M24" s="529">
        <v>0.2263</v>
      </c>
      <c r="N24" s="529">
        <v>0.17280000000000001</v>
      </c>
      <c r="O24" s="530">
        <v>6.0199999999999997E-2</v>
      </c>
    </row>
    <row r="25" spans="1:15" ht="14.1" customHeight="1">
      <c r="C25" s="5"/>
      <c r="D25" s="84" t="s">
        <v>9</v>
      </c>
      <c r="E25" s="84"/>
      <c r="F25" s="94">
        <f t="shared" si="2"/>
        <v>0.61229999999999996</v>
      </c>
      <c r="G25" s="86" t="s">
        <v>47</v>
      </c>
      <c r="H25" s="130">
        <f>IF(UNIT!$Z$1=1,UNIT!AD87,UNIT!AF87)</f>
        <v>6314.83</v>
      </c>
      <c r="I25" s="84"/>
      <c r="J25" s="87">
        <f t="shared" si="3"/>
        <v>3866.5704089999995</v>
      </c>
      <c r="L25" s="529">
        <v>0.61229999999999996</v>
      </c>
      <c r="M25" s="529">
        <v>0.28899999999999998</v>
      </c>
      <c r="N25" s="529">
        <v>0.31859999999999999</v>
      </c>
      <c r="O25" s="530">
        <v>0.1343</v>
      </c>
    </row>
    <row r="26" spans="1:15" ht="14.1" customHeight="1">
      <c r="C26" s="5"/>
      <c r="D26" s="84" t="s">
        <v>33</v>
      </c>
      <c r="E26" s="84"/>
      <c r="F26" s="85">
        <f t="shared" si="2"/>
        <v>0.4829</v>
      </c>
      <c r="G26" s="86" t="s">
        <v>47</v>
      </c>
      <c r="H26" s="130">
        <f>IF(UNIT!$Z$1=1,UNIT!AD88,UNIT!AF88)</f>
        <v>10586.58</v>
      </c>
      <c r="I26" s="84"/>
      <c r="J26" s="87">
        <f t="shared" si="3"/>
        <v>5112.2594819999995</v>
      </c>
      <c r="L26" s="529">
        <v>0.4829</v>
      </c>
      <c r="M26" s="529">
        <v>0.19639999999999999</v>
      </c>
      <c r="N26" s="529">
        <v>0.14749999999999999</v>
      </c>
      <c r="O26" s="530">
        <v>0.1103</v>
      </c>
    </row>
    <row r="27" spans="1:15" ht="14.1" customHeight="1">
      <c r="C27" s="5"/>
      <c r="D27" s="84" t="s">
        <v>463</v>
      </c>
      <c r="E27" s="84"/>
      <c r="F27" s="85">
        <f t="shared" si="2"/>
        <v>0.4496</v>
      </c>
      <c r="G27" s="86" t="s">
        <v>47</v>
      </c>
      <c r="H27" s="130">
        <f>IF(UNIT!$Z$1=1,UNIT!AD89,UNIT!AF89)</f>
        <v>10091.629999999999</v>
      </c>
      <c r="I27" s="84"/>
      <c r="J27" s="87">
        <f t="shared" si="3"/>
        <v>4537.1968479999996</v>
      </c>
      <c r="L27" s="529">
        <v>0.4496</v>
      </c>
      <c r="M27" s="529">
        <v>0.18110000000000001</v>
      </c>
      <c r="N27" s="529">
        <v>0.19969999999999999</v>
      </c>
      <c r="O27" s="530" t="s">
        <v>49</v>
      </c>
    </row>
    <row r="28" spans="1:15" ht="14.1" customHeight="1">
      <c r="C28" s="5"/>
      <c r="D28" s="84" t="s">
        <v>11</v>
      </c>
      <c r="E28" s="84"/>
      <c r="F28" s="85">
        <f t="shared" si="2"/>
        <v>0.51180000000000003</v>
      </c>
      <c r="G28" s="86" t="s">
        <v>47</v>
      </c>
      <c r="H28" s="130">
        <f>IF(UNIT!$Z$1=1,UNIT!AD90,UNIT!AF90)</f>
        <v>8429.16</v>
      </c>
      <c r="I28" s="84"/>
      <c r="J28" s="87">
        <f t="shared" si="3"/>
        <v>4314.0440880000006</v>
      </c>
      <c r="L28" s="529">
        <v>0.51180000000000003</v>
      </c>
      <c r="M28" s="529">
        <v>0.20730000000000001</v>
      </c>
      <c r="N28" s="529">
        <v>0.13339999999999999</v>
      </c>
      <c r="O28" s="530">
        <v>5.21E-2</v>
      </c>
    </row>
    <row r="29" spans="1:15" ht="14.1" customHeight="1">
      <c r="C29" s="5"/>
      <c r="D29" s="84" t="s">
        <v>125</v>
      </c>
      <c r="E29" s="84"/>
      <c r="F29" s="85" t="str">
        <f t="shared" si="2"/>
        <v>-</v>
      </c>
      <c r="G29" s="86" t="s">
        <v>47</v>
      </c>
      <c r="H29" s="130">
        <f>IF(UNIT!$Z$1=1,UNIT!AD91,UNIT!AF91)</f>
        <v>7700.65</v>
      </c>
      <c r="I29" s="84"/>
      <c r="J29" s="87" t="str">
        <f t="shared" si="3"/>
        <v>-</v>
      </c>
      <c r="L29" s="529" t="s">
        <v>49</v>
      </c>
      <c r="M29" s="529" t="s">
        <v>49</v>
      </c>
      <c r="N29" s="529">
        <v>0.11</v>
      </c>
      <c r="O29" s="530">
        <v>6.9699999999999998E-2</v>
      </c>
    </row>
    <row r="30" spans="1:15" ht="14.1" customHeight="1">
      <c r="C30" s="5"/>
      <c r="D30" s="84" t="s">
        <v>52</v>
      </c>
      <c r="E30" s="84"/>
      <c r="F30" s="85" t="str">
        <f t="shared" si="2"/>
        <v>-</v>
      </c>
      <c r="G30" s="86" t="s">
        <v>47</v>
      </c>
      <c r="H30" s="130">
        <f>IF(UNIT!$Z$1=1,UNIT!AD92,UNIT!AF92)</f>
        <v>6936.85</v>
      </c>
      <c r="I30" s="84"/>
      <c r="J30" s="87" t="str">
        <f t="shared" si="3"/>
        <v>-</v>
      </c>
      <c r="L30" s="529" t="s">
        <v>49</v>
      </c>
      <c r="M30" s="529" t="s">
        <v>49</v>
      </c>
      <c r="N30" s="529">
        <v>0.27389999999999998</v>
      </c>
      <c r="O30" s="530" t="s">
        <v>49</v>
      </c>
    </row>
    <row r="31" spans="1:15" ht="14.1" customHeight="1">
      <c r="C31" s="5"/>
      <c r="D31" s="84" t="s">
        <v>51</v>
      </c>
      <c r="E31" s="84"/>
      <c r="F31" s="85">
        <f t="shared" si="2"/>
        <v>0.53400000000000003</v>
      </c>
      <c r="G31" s="86" t="s">
        <v>47</v>
      </c>
      <c r="H31" s="130">
        <f>IF(UNIT!$Z$1=1,UNIT!AD93,UNIT!AF93)</f>
        <v>7702.48</v>
      </c>
      <c r="I31" s="84"/>
      <c r="J31" s="87">
        <f t="shared" si="3"/>
        <v>4113.1243199999999</v>
      </c>
      <c r="L31" s="529">
        <v>0.53400000000000003</v>
      </c>
      <c r="M31" s="529">
        <v>0.26979999999999998</v>
      </c>
      <c r="N31" s="529">
        <v>0.19950000000000001</v>
      </c>
      <c r="O31" s="530">
        <v>0.1656</v>
      </c>
    </row>
    <row r="32" spans="1:15" ht="14.1" customHeight="1">
      <c r="C32" s="5"/>
      <c r="D32" s="84" t="s">
        <v>53</v>
      </c>
      <c r="E32" s="84"/>
      <c r="F32" s="85">
        <f t="shared" si="2"/>
        <v>0.48780000000000001</v>
      </c>
      <c r="G32" s="86" t="s">
        <v>47</v>
      </c>
      <c r="H32" s="130">
        <f>IF(UNIT!$Z$1=1,UNIT!AD94,UNIT!AF94)</f>
        <v>4017.45</v>
      </c>
      <c r="I32" s="84"/>
      <c r="J32" s="87">
        <f t="shared" si="3"/>
        <v>1959.7121099999999</v>
      </c>
      <c r="L32" s="529">
        <v>0.48780000000000001</v>
      </c>
      <c r="M32" s="529">
        <v>0.18210000000000001</v>
      </c>
      <c r="N32" s="529">
        <v>0.126</v>
      </c>
      <c r="O32" s="530">
        <v>4.9599999999999998E-2</v>
      </c>
    </row>
    <row r="33" spans="3:17" ht="14.1" customHeight="1">
      <c r="C33" s="5"/>
      <c r="D33" s="84" t="s">
        <v>50</v>
      </c>
      <c r="E33" s="84"/>
      <c r="F33" s="94">
        <f t="shared" si="2"/>
        <v>0.7107</v>
      </c>
      <c r="G33" s="86" t="s">
        <v>47</v>
      </c>
      <c r="H33" s="130">
        <f>IF(UNIT!$Z$1=1,UNIT!AD95,UNIT!AF95)</f>
        <v>5472.11</v>
      </c>
      <c r="I33" s="84"/>
      <c r="J33" s="87">
        <f t="shared" si="3"/>
        <v>3889.0285769999996</v>
      </c>
      <c r="L33" s="529">
        <v>0.7107</v>
      </c>
      <c r="M33" s="529">
        <v>0.33119999999999999</v>
      </c>
      <c r="N33" s="529" t="s">
        <v>49</v>
      </c>
      <c r="O33" s="530" t="s">
        <v>49</v>
      </c>
    </row>
    <row r="34" spans="3:17" ht="14.1" customHeight="1">
      <c r="C34" s="5"/>
      <c r="D34" s="84" t="s">
        <v>464</v>
      </c>
      <c r="E34" s="84"/>
      <c r="F34" s="85">
        <f t="shared" si="2"/>
        <v>0.61850000000000005</v>
      </c>
      <c r="G34" s="86" t="s">
        <v>47</v>
      </c>
      <c r="H34" s="130">
        <f>IF(UNIT!$Z$1=1,UNIT!AD96,UNIT!AF96)</f>
        <v>3049.53</v>
      </c>
      <c r="I34" s="84"/>
      <c r="J34" s="87">
        <f t="shared" si="3"/>
        <v>1886.1343050000003</v>
      </c>
      <c r="L34" s="529">
        <v>0.61850000000000005</v>
      </c>
      <c r="M34" s="529">
        <v>0.34820000000000001</v>
      </c>
      <c r="N34" s="529">
        <v>0.37340000000000001</v>
      </c>
      <c r="O34" s="530" t="s">
        <v>49</v>
      </c>
    </row>
    <row r="35" spans="3:17" ht="14.1" customHeight="1">
      <c r="C35" s="5"/>
      <c r="D35" s="84" t="s">
        <v>54</v>
      </c>
      <c r="E35" s="84"/>
      <c r="F35" s="85">
        <f t="shared" si="2"/>
        <v>0.45200000000000001</v>
      </c>
      <c r="G35" s="86" t="s">
        <v>47</v>
      </c>
      <c r="H35" s="130">
        <f>IF(UNIT!$Z$1=1,UNIT!AD97,UNIT!AF97)</f>
        <v>17019.37</v>
      </c>
      <c r="I35" s="84"/>
      <c r="J35" s="87">
        <f t="shared" si="3"/>
        <v>7692.7552399999995</v>
      </c>
      <c r="L35" s="529">
        <v>0.45200000000000001</v>
      </c>
      <c r="M35" s="529">
        <v>0.16789999999999999</v>
      </c>
      <c r="N35" s="529">
        <v>0.18190000000000001</v>
      </c>
      <c r="O35" s="530" t="s">
        <v>49</v>
      </c>
    </row>
    <row r="36" spans="3:17" ht="14.1" customHeight="1">
      <c r="C36" s="5"/>
      <c r="D36" s="84" t="s">
        <v>56</v>
      </c>
      <c r="E36" s="84"/>
      <c r="F36" s="85">
        <f t="shared" si="2"/>
        <v>0.42870000000000003</v>
      </c>
      <c r="G36" s="86" t="s">
        <v>47</v>
      </c>
      <c r="H36" s="130">
        <f>IF(UNIT!$Z$1=1,UNIT!AD98,UNIT!AF98)</f>
        <v>7738.34</v>
      </c>
      <c r="I36" s="84"/>
      <c r="J36" s="87">
        <f t="shared" si="3"/>
        <v>3317.4263580000002</v>
      </c>
      <c r="L36" s="529">
        <v>0.42870000000000003</v>
      </c>
      <c r="M36" s="529">
        <v>0.23669999999999999</v>
      </c>
      <c r="N36" s="529">
        <v>0.16539999999999999</v>
      </c>
      <c r="O36" s="530" t="s">
        <v>49</v>
      </c>
    </row>
    <row r="37" spans="3:17" ht="14.1" customHeight="1">
      <c r="C37" s="5"/>
      <c r="D37" s="84" t="s">
        <v>58</v>
      </c>
      <c r="E37" s="84"/>
      <c r="F37" s="85">
        <f t="shared" si="2"/>
        <v>0.41220000000000001</v>
      </c>
      <c r="G37" s="86" t="s">
        <v>47</v>
      </c>
      <c r="H37" s="130">
        <f>IF(UNIT!$Z$1=1,UNIT!AD99,UNIT!AF99)</f>
        <v>7832.78</v>
      </c>
      <c r="I37" s="84"/>
      <c r="J37" s="87">
        <f t="shared" si="3"/>
        <v>3228.6719159999998</v>
      </c>
      <c r="L37" s="529">
        <v>0.41220000000000001</v>
      </c>
      <c r="M37" s="529">
        <v>0.31190000000000001</v>
      </c>
      <c r="N37" s="529">
        <v>0.2145</v>
      </c>
      <c r="O37" s="530">
        <v>0.1628</v>
      </c>
    </row>
    <row r="38" spans="3:17" ht="14.1" customHeight="1">
      <c r="C38" s="5"/>
      <c r="D38" s="84" t="s">
        <v>57</v>
      </c>
      <c r="E38" s="84"/>
      <c r="F38" s="85">
        <f t="shared" si="2"/>
        <v>0.47820000000000001</v>
      </c>
      <c r="G38" s="86" t="s">
        <v>47</v>
      </c>
      <c r="H38" s="130">
        <f>IF(UNIT!$Z$1=1,UNIT!AD100,UNIT!AF100)</f>
        <v>1762.47</v>
      </c>
      <c r="I38" s="84"/>
      <c r="J38" s="87">
        <f t="shared" si="3"/>
        <v>842.81315400000005</v>
      </c>
      <c r="L38" s="529">
        <v>0.47820000000000001</v>
      </c>
      <c r="M38" s="529">
        <v>0.28449999999999998</v>
      </c>
      <c r="N38" s="529">
        <v>0.20349999999999999</v>
      </c>
      <c r="O38" s="530">
        <v>0.19539999999999999</v>
      </c>
    </row>
    <row r="39" spans="3:17" ht="14.1" customHeight="1" thickBot="1">
      <c r="C39" s="84"/>
      <c r="D39" s="84" t="s">
        <v>55</v>
      </c>
      <c r="E39" s="84"/>
      <c r="F39" s="85">
        <f t="shared" si="2"/>
        <v>0.43180000000000002</v>
      </c>
      <c r="G39" s="86" t="s">
        <v>47</v>
      </c>
      <c r="H39" s="130">
        <f>IF(UNIT!$Z$1=1,UNIT!AD101,UNIT!AF101)</f>
        <v>2114.81</v>
      </c>
      <c r="I39" s="84"/>
      <c r="J39" s="87">
        <f t="shared" si="3"/>
        <v>913.17495800000006</v>
      </c>
      <c r="L39" s="531">
        <v>0.43180000000000002</v>
      </c>
      <c r="M39" s="531">
        <v>0.16600000000000001</v>
      </c>
      <c r="N39" s="531">
        <v>0.19270000000000001</v>
      </c>
      <c r="O39" s="532">
        <v>0.15740000000000001</v>
      </c>
    </row>
    <row r="40" spans="3:17" ht="18" customHeight="1" thickBot="1">
      <c r="C40" s="510"/>
      <c r="D40" s="511" t="s">
        <v>185</v>
      </c>
      <c r="E40" s="511"/>
      <c r="F40" s="512"/>
      <c r="G40" s="512"/>
      <c r="H40" s="513"/>
      <c r="I40" s="511"/>
      <c r="J40" s="514">
        <f>SUM(J6,J10,J15,J21)</f>
        <v>2301734.3134439997</v>
      </c>
    </row>
    <row r="41" spans="3:17" ht="15.95" customHeight="1">
      <c r="C41" s="10" t="str">
        <f>_xlfn.CONCAT("a/ Inventario basado en una finca cafetalera promedio de ",LOOKUP(L1,L3:O3,L5:O5)," hectáreas de extensión.")</f>
        <v>a/ Inventario basado en una finca cafetalera promedio de 1.5 a 6.0 hectáreas de extensión.</v>
      </c>
      <c r="D41" s="7"/>
      <c r="E41"/>
      <c r="L41" s="575"/>
      <c r="M41" s="522"/>
      <c r="P41" s="10"/>
      <c r="Q41" s="10"/>
    </row>
    <row r="42" spans="3:17" ht="11.45" customHeight="1">
      <c r="C42" s="10" t="str">
        <f>_xlfn.CONCAT("b/ Valor de las construcciones estimadas al año ",(MID(FICHA!E33,9,4)-15),". ","Edad ponderada de las construcciones: 15 años al año ",MID(FICHA!E33,9,4),".")</f>
        <v>b/ Valor de las construcciones estimadas al año 2010. Edad ponderada de las construcciones: 15 años al año 2025.</v>
      </c>
      <c r="D42"/>
      <c r="E42"/>
    </row>
    <row r="43" spans="3:17" ht="11.45" customHeight="1">
      <c r="C43" s="10" t="str">
        <f>_xlfn.CONCAT("c/ Valor de los medios de transporte calculados al año ",(MID(FICHA!E33,9,4)-10),".","  Su fabricación data de más de 20 años, se consideran activos no depreciables.")</f>
        <v>c/ Valor de los medios de transporte calculados al año 2015.  Su fabricación data de más de 20 años, se consideran activos no depreciables.</v>
      </c>
      <c r="D43"/>
      <c r="E43"/>
    </row>
    <row r="44" spans="3:17" ht="11.45" customHeight="1">
      <c r="C44" s="10" t="str">
        <f>_xlfn.CONCAT("d/ Valor de los equipos y herramientas estimados al año ",MID(FICHA!E33,9,4)-5,".  Las herramientas se consideran activos no depreciables.")</f>
        <v>d/ Valor de los equipos y herramientas estimados al año 2020.  Las herramientas se consideran activos no depreciables.</v>
      </c>
      <c r="D44"/>
      <c r="E44"/>
    </row>
    <row r="45" spans="3:17" ht="11.45" customHeight="1">
      <c r="C45" s="7" t="s">
        <v>130</v>
      </c>
      <c r="D45"/>
      <c r="E45"/>
    </row>
    <row r="46" spans="3:17">
      <c r="F46" s="74"/>
      <c r="G46" s="74"/>
      <c r="H46" s="74"/>
      <c r="I46" s="74"/>
      <c r="J46" s="74"/>
    </row>
  </sheetData>
  <sheetProtection algorithmName="SHA-512" hashValue="GH4axZcPvu8EEDdRyq045ecr9iavNcCqFCRfzlri6IgP/lgAe8mT8ZBbjzkEYpHg9tsV5ykswU0645ZpsGihXw==" saltValue="8rPnHx2bTYNbrtLHDpIibg==" spinCount="100000" sheet="1" objects="1" scenarios="1"/>
  <mergeCells count="4">
    <mergeCell ref="C4:E5"/>
    <mergeCell ref="F4:F5"/>
    <mergeCell ref="G4:G5"/>
    <mergeCell ref="L2:Q2"/>
  </mergeCells>
  <phoneticPr fontId="14" type="noConversion"/>
  <conditionalFormatting sqref="F40:H40 J40">
    <cfRule type="cellIs" dxfId="3" priority="6" stopIfTrue="1" operator="equal">
      <formula>"-"</formula>
    </cfRule>
  </conditionalFormatting>
  <conditionalFormatting sqref="F6:J6">
    <cfRule type="cellIs" dxfId="2" priority="9" stopIfTrue="1" operator="equal">
      <formula>"-"</formula>
    </cfRule>
  </conditionalFormatting>
  <conditionalFormatting sqref="F7:J39">
    <cfRule type="cellIs" dxfId="1" priority="1" stopIfTrue="1" operator="equal">
      <formula>"-"</formula>
    </cfRule>
  </conditionalFormatting>
  <conditionalFormatting sqref="L7:O39">
    <cfRule type="cellIs" dxfId="0" priority="2" stopIfTrue="1" operator="equal">
      <formula>"-"</formula>
    </cfRule>
  </conditionalFormatting>
  <dataValidations count="1">
    <dataValidation type="list" allowBlank="1" showInputMessage="1" showErrorMessage="1" error="Solo puede digitar letras entre A y D" sqref="L1" xr:uid="{0CC6721A-6CD6-42BC-A28E-AC750E9D9105}">
      <formula1>$L$3:$O$3</formula1>
    </dataValidation>
  </dataValidations>
  <printOptions horizontalCentered="1" verticalCentered="1"/>
  <pageMargins left="0.78740157480314965" right="0.78740157480314965" top="1.5342519685039371" bottom="0.98425196850393704" header="0" footer="0"/>
  <pageSetup paperSize="9" scale="88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BECC4"/>
  </sheetPr>
  <dimension ref="A1:J27"/>
  <sheetViews>
    <sheetView showGridLines="0" workbookViewId="0"/>
  </sheetViews>
  <sheetFormatPr baseColWidth="10" defaultRowHeight="12.75"/>
  <cols>
    <col min="1" max="1" width="10.5703125" customWidth="1"/>
    <col min="2" max="2" width="10.140625" customWidth="1"/>
    <col min="3" max="3" width="13.5703125" bestFit="1" customWidth="1"/>
    <col min="4" max="4" width="8" bestFit="1" customWidth="1"/>
    <col min="5" max="5" width="0.85546875" customWidth="1"/>
    <col min="6" max="6" width="13" bestFit="1" customWidth="1"/>
    <col min="7" max="7" width="8" bestFit="1" customWidth="1"/>
    <col min="8" max="8" width="1.140625" customWidth="1"/>
    <col min="9" max="9" width="13.5703125" bestFit="1" customWidth="1"/>
    <col min="10" max="10" width="8" bestFit="1" customWidth="1"/>
  </cols>
  <sheetData>
    <row r="1" spans="1:10" ht="21">
      <c r="A1" s="1" t="str">
        <f>Estructuras!A1</f>
        <v>Estructura de Costos de Renovación de Café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21">
      <c r="A2" s="1" t="str">
        <f>Estructuras!A2</f>
        <v>Recomendación Técnica Nacional</v>
      </c>
      <c r="B2" s="16"/>
      <c r="C2" s="15"/>
      <c r="D2" s="15"/>
      <c r="E2" s="15"/>
      <c r="F2" s="15"/>
      <c r="G2" s="15"/>
      <c r="H2" s="15"/>
      <c r="I2" s="15"/>
      <c r="J2" s="15"/>
    </row>
    <row r="3" spans="1:10" ht="21">
      <c r="A3" s="1" t="s">
        <v>29</v>
      </c>
      <c r="B3" s="1"/>
      <c r="C3" s="15"/>
      <c r="D3" s="15"/>
      <c r="E3" s="15"/>
      <c r="F3" s="15"/>
      <c r="G3" s="15"/>
      <c r="H3" s="15"/>
      <c r="I3" s="15"/>
      <c r="J3" s="15"/>
    </row>
    <row r="4" spans="1:10" ht="21">
      <c r="A4" s="1" t="str">
        <f>Estructuras!A3</f>
        <v>Cosecha 2025-2026 (Abr-Mar)</v>
      </c>
      <c r="B4" s="1"/>
      <c r="C4" s="15"/>
      <c r="D4" s="15"/>
      <c r="E4" s="15"/>
      <c r="F4" s="15"/>
      <c r="G4" s="15"/>
      <c r="H4" s="15"/>
      <c r="I4" s="15"/>
      <c r="J4" s="15"/>
    </row>
    <row r="5" spans="1:10" ht="13.5" thickBot="1"/>
    <row r="6" spans="1:10" ht="17.100000000000001" customHeight="1" thickBot="1">
      <c r="A6" s="84"/>
      <c r="B6" s="84"/>
      <c r="C6" s="95" t="s">
        <v>21</v>
      </c>
      <c r="D6" s="96"/>
      <c r="E6" s="84"/>
      <c r="F6" s="95" t="s">
        <v>22</v>
      </c>
      <c r="G6" s="96"/>
      <c r="H6" s="84"/>
      <c r="I6" s="95" t="s">
        <v>23</v>
      </c>
      <c r="J6" s="96"/>
    </row>
    <row r="7" spans="1:10" ht="4.5" customHeight="1">
      <c r="A7" s="84"/>
      <c r="B7" s="84"/>
      <c r="C7" s="84"/>
      <c r="D7" s="84"/>
      <c r="E7" s="84"/>
      <c r="F7" s="84"/>
      <c r="G7" s="84"/>
      <c r="H7" s="84"/>
      <c r="I7" s="84"/>
      <c r="J7" s="84"/>
    </row>
    <row r="8" spans="1:10" ht="17.100000000000001" customHeight="1">
      <c r="A8" s="97" t="s">
        <v>6</v>
      </c>
      <c r="B8" s="98"/>
      <c r="C8" s="99" t="s">
        <v>24</v>
      </c>
      <c r="D8" s="100" t="s">
        <v>25</v>
      </c>
      <c r="E8" s="93"/>
      <c r="F8" s="101" t="s">
        <v>24</v>
      </c>
      <c r="G8" s="100" t="s">
        <v>25</v>
      </c>
      <c r="H8" s="93"/>
      <c r="I8" s="101" t="s">
        <v>24</v>
      </c>
      <c r="J8" s="100" t="s">
        <v>25</v>
      </c>
    </row>
    <row r="9" spans="1:10" ht="17.100000000000001" customHeight="1">
      <c r="A9" s="102" t="s">
        <v>13</v>
      </c>
      <c r="B9" s="103"/>
      <c r="C9" s="104">
        <f>Estructuras!H9</f>
        <v>2111641.4169395999</v>
      </c>
      <c r="D9" s="105">
        <f t="shared" ref="D9:D19" ca="1" si="0">C9/$C$19</f>
        <v>0.45790319311431477</v>
      </c>
      <c r="E9" s="84"/>
      <c r="F9" s="104">
        <f>Estructuras!T60</f>
        <v>528736.50502400007</v>
      </c>
      <c r="G9" s="106">
        <f t="shared" ref="G9:G19" ca="1" si="1">F9/$F$19</f>
        <v>0.31004524830686492</v>
      </c>
      <c r="H9" s="84"/>
      <c r="I9" s="104">
        <f>C9+F9</f>
        <v>2640377.9219636</v>
      </c>
      <c r="J9" s="106">
        <f t="shared" ref="J9:J19" ca="1" si="2">I9/$I$19</f>
        <v>0.41798645902467207</v>
      </c>
    </row>
    <row r="10" spans="1:10" ht="17.100000000000001" customHeight="1">
      <c r="A10" s="102" t="s">
        <v>26</v>
      </c>
      <c r="B10" s="103"/>
      <c r="C10" s="104">
        <f>Estructuras!H14</f>
        <v>1474892.5</v>
      </c>
      <c r="D10" s="106">
        <f t="shared" ca="1" si="0"/>
        <v>0.31982607455632794</v>
      </c>
      <c r="E10" s="84"/>
      <c r="F10" s="104">
        <f>Estructuras!T65</f>
        <v>73744.625</v>
      </c>
      <c r="G10" s="106">
        <f t="shared" ca="1" si="1"/>
        <v>4.324303382151342E-2</v>
      </c>
      <c r="H10" s="84"/>
      <c r="I10" s="104">
        <f>C10+F10</f>
        <v>1548637.125</v>
      </c>
      <c r="J10" s="106">
        <f t="shared" ca="1" si="2"/>
        <v>0.24515784002295646</v>
      </c>
    </row>
    <row r="11" spans="1:10" ht="17.100000000000001" customHeight="1">
      <c r="A11" s="102" t="s">
        <v>27</v>
      </c>
      <c r="B11" s="103"/>
      <c r="C11" s="104">
        <f ca="1">Estructuras!H13-C10</f>
        <v>683101.39634888945</v>
      </c>
      <c r="D11" s="106">
        <f t="shared" ca="1" si="0"/>
        <v>0.14812851656524909</v>
      </c>
      <c r="E11" s="84"/>
      <c r="F11" s="104">
        <f ca="1">Estructuras!T64-F10</f>
        <v>599100.69996666652</v>
      </c>
      <c r="G11" s="106">
        <f t="shared" ca="1" si="1"/>
        <v>0.35130603526902371</v>
      </c>
      <c r="H11" s="84"/>
      <c r="I11" s="104">
        <f ca="1">C11+F11</f>
        <v>1282202.096315556</v>
      </c>
      <c r="J11" s="106">
        <f t="shared" ca="1" si="2"/>
        <v>0.20297969829802995</v>
      </c>
    </row>
    <row r="12" spans="1:10" ht="17.100000000000001" customHeight="1" thickBot="1">
      <c r="A12" s="102" t="s">
        <v>28</v>
      </c>
      <c r="B12" s="103"/>
      <c r="C12" s="104">
        <f>Estructuras!H32</f>
        <v>148768.98749999999</v>
      </c>
      <c r="D12" s="107">
        <f t="shared" ca="1" si="0"/>
        <v>3.2260114745884472E-2</v>
      </c>
      <c r="E12" s="84"/>
      <c r="F12" s="104">
        <f>Estructuras!T79</f>
        <v>21488.87</v>
      </c>
      <c r="G12" s="107">
        <f t="shared" ca="1" si="1"/>
        <v>1.2600836090713122E-2</v>
      </c>
      <c r="H12" s="84"/>
      <c r="I12" s="104">
        <f>C12+F12</f>
        <v>170257.85749999998</v>
      </c>
      <c r="J12" s="107">
        <f t="shared" ca="1" si="2"/>
        <v>2.6952762475997281E-2</v>
      </c>
    </row>
    <row r="13" spans="1:10" ht="17.100000000000001" customHeight="1">
      <c r="A13" s="757" t="s">
        <v>72</v>
      </c>
      <c r="B13" s="108" t="s">
        <v>141</v>
      </c>
      <c r="C13" s="109">
        <f ca="1">SUM(C9:C12)</f>
        <v>4418404.3007884892</v>
      </c>
      <c r="D13" s="110">
        <f t="shared" ca="1" si="0"/>
        <v>0.95811789898177624</v>
      </c>
      <c r="E13" s="111"/>
      <c r="F13" s="112">
        <f ca="1">SUM(F9:F12)</f>
        <v>1223070.6999906667</v>
      </c>
      <c r="G13" s="113">
        <f t="shared" ca="1" si="1"/>
        <v>0.71719515348811524</v>
      </c>
      <c r="H13" s="111"/>
      <c r="I13" s="261">
        <f ca="1">ROUND(SUM(I9:I12),2)</f>
        <v>5641475</v>
      </c>
      <c r="J13" s="110">
        <f t="shared" ca="1" si="2"/>
        <v>0.89307675969831102</v>
      </c>
    </row>
    <row r="14" spans="1:10" ht="17.100000000000001" customHeight="1" thickBot="1">
      <c r="A14" s="759"/>
      <c r="B14" s="114" t="s">
        <v>168</v>
      </c>
      <c r="C14" s="115">
        <f ca="1">C13/$F$21</f>
        <v>8758.5821725151272</v>
      </c>
      <c r="D14" s="116"/>
      <c r="E14" s="111"/>
      <c r="F14" s="117">
        <f ca="1">F13/$F$21</f>
        <v>2424.4873260584527</v>
      </c>
      <c r="G14" s="118"/>
      <c r="H14" s="111"/>
      <c r="I14" s="117">
        <f ca="1">I13/$F$21</f>
        <v>11183.069497029064</v>
      </c>
      <c r="J14" s="116"/>
    </row>
    <row r="15" spans="1:10" ht="17.100000000000001" customHeight="1">
      <c r="A15" s="102" t="s">
        <v>240</v>
      </c>
      <c r="B15" s="103"/>
      <c r="C15" s="104">
        <v>0</v>
      </c>
      <c r="D15" s="106">
        <f t="shared" ca="1" si="0"/>
        <v>0</v>
      </c>
      <c r="E15" s="84"/>
      <c r="F15" s="104">
        <f>Estructuras!T85</f>
        <v>289140.79680000001</v>
      </c>
      <c r="G15" s="106">
        <f t="shared" ca="1" si="1"/>
        <v>0.16954897058872753</v>
      </c>
      <c r="H15" s="84"/>
      <c r="I15" s="104">
        <f>C15+F15</f>
        <v>289140.79680000001</v>
      </c>
      <c r="J15" s="106">
        <f t="shared" ref="J15" ca="1" si="3">I15/$I$19</f>
        <v>4.5772590661614522E-2</v>
      </c>
    </row>
    <row r="16" spans="1:10" ht="17.100000000000001" customHeight="1">
      <c r="A16" s="102" t="s">
        <v>113</v>
      </c>
      <c r="B16" s="103"/>
      <c r="C16" s="104">
        <f>Estructuras!H39</f>
        <v>26021.495034274994</v>
      </c>
      <c r="D16" s="106">
        <f t="shared" ca="1" si="0"/>
        <v>5.6426842030176108E-3</v>
      </c>
      <c r="E16" s="84"/>
      <c r="F16" s="104">
        <f>Estructuras!T90</f>
        <v>26021.495034274994</v>
      </c>
      <c r="G16" s="106">
        <f t="shared" ca="1" si="1"/>
        <v>1.5258717362160255E-2</v>
      </c>
      <c r="H16" s="84"/>
      <c r="I16" s="104">
        <f>C16+F16</f>
        <v>52042.990068549989</v>
      </c>
      <c r="J16" s="106">
        <f t="shared" ca="1" si="2"/>
        <v>8.2386937698796861E-3</v>
      </c>
    </row>
    <row r="17" spans="1:10" ht="17.100000000000001" customHeight="1">
      <c r="A17" s="102" t="s">
        <v>114</v>
      </c>
      <c r="B17" s="103"/>
      <c r="C17" s="104">
        <f>Estructuras!H42</f>
        <v>116591.11011433999</v>
      </c>
      <c r="D17" s="106">
        <f t="shared" ca="1" si="0"/>
        <v>2.5282437246127391E-2</v>
      </c>
      <c r="E17" s="84"/>
      <c r="F17" s="104">
        <f>Estructuras!T91</f>
        <v>116591.11011433999</v>
      </c>
      <c r="G17" s="106">
        <f t="shared" ca="1" si="1"/>
        <v>6.8367739587287882E-2</v>
      </c>
      <c r="H17" s="84"/>
      <c r="I17" s="104">
        <f>C17+F17</f>
        <v>233182.22022867997</v>
      </c>
      <c r="J17" s="106">
        <f t="shared" ca="1" si="2"/>
        <v>3.6914037846677947E-2</v>
      </c>
    </row>
    <row r="18" spans="1:10" ht="17.100000000000001" customHeight="1" thickBot="1">
      <c r="A18" s="102" t="s">
        <v>169</v>
      </c>
      <c r="B18" s="103"/>
      <c r="C18" s="104">
        <f>Estructuras!H47</f>
        <v>50528.61</v>
      </c>
      <c r="D18" s="107">
        <f t="shared" ca="1" si="0"/>
        <v>1.0956979569078843E-2</v>
      </c>
      <c r="E18" s="84"/>
      <c r="F18" s="104">
        <f>Estructuras!T92</f>
        <v>50528.61</v>
      </c>
      <c r="G18" s="106">
        <f t="shared" ca="1" si="1"/>
        <v>2.9629418973709087E-2</v>
      </c>
      <c r="H18" s="84"/>
      <c r="I18" s="104">
        <f>C18+F18</f>
        <v>101057.22</v>
      </c>
      <c r="J18" s="107">
        <f t="shared" ca="1" si="2"/>
        <v>1.5997918023516786E-2</v>
      </c>
    </row>
    <row r="19" spans="1:10" ht="17.100000000000001" customHeight="1">
      <c r="A19" s="757" t="s">
        <v>71</v>
      </c>
      <c r="B19" s="108" t="s">
        <v>141</v>
      </c>
      <c r="C19" s="119">
        <f ca="1">C13+SUM(C15:C18)</f>
        <v>4611545.5159371039</v>
      </c>
      <c r="D19" s="120">
        <f t="shared" ca="1" si="0"/>
        <v>1</v>
      </c>
      <c r="E19" s="88"/>
      <c r="F19" s="121">
        <f ca="1">F13+SUM(F15:F18)</f>
        <v>1705352.7119392818</v>
      </c>
      <c r="G19" s="120">
        <f t="shared" ca="1" si="1"/>
        <v>1</v>
      </c>
      <c r="H19" s="88"/>
      <c r="I19" s="121">
        <f ca="1">I13+SUM(I15:I18)</f>
        <v>6316898.22709723</v>
      </c>
      <c r="J19" s="120">
        <f t="shared" ca="1" si="2"/>
        <v>1</v>
      </c>
    </row>
    <row r="20" spans="1:10" ht="17.100000000000001" customHeight="1" thickBot="1">
      <c r="A20" s="758"/>
      <c r="B20" s="122" t="s">
        <v>168</v>
      </c>
      <c r="C20" s="123">
        <f ca="1">C19/$F$21</f>
        <v>9141.4450996303949</v>
      </c>
      <c r="D20" s="124"/>
      <c r="E20" s="88"/>
      <c r="F20" s="125">
        <f ca="1">F19/$F$21</f>
        <v>3380.5127018313428</v>
      </c>
      <c r="G20" s="124"/>
      <c r="H20" s="88"/>
      <c r="I20" s="125">
        <f ca="1">I19/$F$21</f>
        <v>12521.957799917222</v>
      </c>
      <c r="J20" s="124"/>
    </row>
    <row r="21" spans="1:10" ht="17.25" customHeight="1" thickTop="1">
      <c r="A21" s="135" t="s">
        <v>393</v>
      </c>
      <c r="B21" s="10"/>
      <c r="F21" s="33">
        <f ca="1">FICHA!F31</f>
        <v>504.4657016124898</v>
      </c>
    </row>
    <row r="22" spans="1:10">
      <c r="A22" s="126" t="str">
        <f>Estructuras!N96</f>
        <v>Fuente: Instituto del Café de Costa Rica (ICAFE).</v>
      </c>
      <c r="B22" s="7"/>
    </row>
    <row r="23" spans="1:10">
      <c r="I23" s="71"/>
      <c r="J23" s="72"/>
    </row>
    <row r="24" spans="1:10">
      <c r="C24" s="11"/>
    </row>
    <row r="27" spans="1:10">
      <c r="C27" s="59"/>
      <c r="F27" s="59"/>
    </row>
  </sheetData>
  <sheetProtection algorithmName="SHA-512" hashValue="I6QiQmS/7YxFn6CiKluZTAwcxrc9/XwZV+e0cpiHscAXe/Ariq5AMhxZCzVMOksuTlBeenxgYciERR9Znxghjg==" saltValue="jRUdbXCR3bZ8sRaJHfhzmQ==" spinCount="100000" sheet="1" objects="1" scenarios="1"/>
  <mergeCells count="2">
    <mergeCell ref="A19:A20"/>
    <mergeCell ref="A13:A14"/>
  </mergeCells>
  <phoneticPr fontId="14" type="noConversion"/>
  <printOptions horizontalCentered="1" verticalCentered="1"/>
  <pageMargins left="0.74803149606299213" right="0.74803149606299213" top="0.98425196850393704" bottom="0.98425196850393704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10</vt:i4>
      </vt:variant>
    </vt:vector>
  </HeadingPairs>
  <TitlesOfParts>
    <vt:vector size="25" baseType="lpstr">
      <vt:lpstr>PRES</vt:lpstr>
      <vt:lpstr>UNIT</vt:lpstr>
      <vt:lpstr>TECNICO</vt:lpstr>
      <vt:lpstr>BASE(1)</vt:lpstr>
      <vt:lpstr>BASE(2)</vt:lpstr>
      <vt:lpstr>FICHA</vt:lpstr>
      <vt:lpstr>Estructuras</vt:lpstr>
      <vt:lpstr>Invent</vt:lpstr>
      <vt:lpstr>R-1</vt:lpstr>
      <vt:lpstr>R-2</vt:lpstr>
      <vt:lpstr>R-3</vt:lpstr>
      <vt:lpstr>Crédito</vt:lpstr>
      <vt:lpstr>TC</vt:lpstr>
      <vt:lpstr>CRONO1</vt:lpstr>
      <vt:lpstr>CRONO2</vt:lpstr>
      <vt:lpstr>'BASE(1)'!Área_de_impresión</vt:lpstr>
      <vt:lpstr>'BASE(2)'!Área_de_impresión</vt:lpstr>
      <vt:lpstr>Crédito!Área_de_impresión</vt:lpstr>
      <vt:lpstr>Estructuras!Área_de_impresión</vt:lpstr>
      <vt:lpstr>FICHA!Área_de_impresión</vt:lpstr>
      <vt:lpstr>Invent!Área_de_impresión</vt:lpstr>
      <vt:lpstr>PRES!Área_de_impresión</vt:lpstr>
      <vt:lpstr>'R-1'!Área_de_impresión</vt:lpstr>
      <vt:lpstr>'R-2'!Área_de_impresión</vt:lpstr>
      <vt:lpstr>TECNICO!Área_de_impresión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maraya</dc:creator>
  <cp:lastModifiedBy>Marco Araya Molina</cp:lastModifiedBy>
  <cp:lastPrinted>2026-07-28T20:10:09Z</cp:lastPrinted>
  <dcterms:created xsi:type="dcterms:W3CDTF">2005-05-06T14:45:10Z</dcterms:created>
  <dcterms:modified xsi:type="dcterms:W3CDTF">2026-07-29T18:45:01Z</dcterms:modified>
</cp:coreProperties>
</file>