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maraya_icafe_cr/Documents/ICAFE/Modelo/Producion/Cosecha 2526/RECOM-Tecn/WEB/"/>
    </mc:Choice>
  </mc:AlternateContent>
  <xr:revisionPtr revIDLastSave="52" documentId="8_{B0B65315-53E8-4285-8C14-027F12B7001C}" xr6:coauthVersionLast="47" xr6:coauthVersionMax="47" xr10:uidLastSave="{43ADA5BC-46AC-444B-87EA-D072D937C2C1}"/>
  <bookViews>
    <workbookView xWindow="-120" yWindow="-120" windowWidth="29040" windowHeight="15720" xr2:uid="{00000000-000D-0000-FFFF-FFFF00000000}"/>
  </bookViews>
  <sheets>
    <sheet name="PRES" sheetId="18" r:id="rId1"/>
    <sheet name="UNIT" sheetId="20" r:id="rId2"/>
    <sheet name="TECNICO" sheetId="14" r:id="rId3"/>
    <sheet name="ATOM" sheetId="17" r:id="rId4"/>
    <sheet name="BASE (MO)" sheetId="15" r:id="rId5"/>
    <sheet name="AGOT" sheetId="16" r:id="rId6"/>
    <sheet name="FICHA" sheetId="4" r:id="rId7"/>
    <sheet name="R1-Estruc" sheetId="3" r:id="rId8"/>
    <sheet name="R2-Labor" sheetId="8" r:id="rId9"/>
    <sheet name="Resumen" sheetId="19" state="hidden" r:id="rId10"/>
    <sheet name="INVENT" sheetId="9" r:id="rId11"/>
    <sheet name="TC" sheetId="21" r:id="rId12"/>
    <sheet name="Cronograma" sheetId="11" r:id="rId13"/>
    <sheet name="Hoja1" sheetId="22" state="hidden" r:id="rId14"/>
    <sheet name="USD-kg" sheetId="10" state="hidden" r:id="rId15"/>
    <sheet name="RES" sheetId="12" state="hidden" r:id="rId16"/>
  </sheets>
  <definedNames>
    <definedName name="_xlnm.Print_Area" localSheetId="3">ATOM!$A$1:$I$26,ATOM!$J$1:$T$28</definedName>
    <definedName name="_xlnm.Print_Area" localSheetId="4">'BASE (MO)'!$A$1:$AJ$29</definedName>
    <definedName name="_xlnm.Print_Area" localSheetId="6">FICHA!$A$1:$J$36</definedName>
    <definedName name="_xlnm.Print_Area" localSheetId="10">INVENT!$C$1:$J$45</definedName>
    <definedName name="_xlnm.Print_Area" localSheetId="0">PRES!$A$1:$K$31</definedName>
    <definedName name="_xlnm.Print_Area" localSheetId="7">'R1-Estruc'!$A$1:$N$58</definedName>
    <definedName name="_xlnm.Print_Area" localSheetId="8">'R2-Labor'!$A$1:$I$48</definedName>
    <definedName name="_xlnm.Print_Area" localSheetId="2">TECNICO!$A$1:$R$27</definedName>
    <definedName name="_xlnm.Print_Area" localSheetId="14">'USD-kg'!$A$1:$L$50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4" l="1"/>
  <c r="AG14" i="15"/>
  <c r="AH27" i="15"/>
  <c r="AH26" i="15"/>
  <c r="AH25" i="15"/>
  <c r="D14" i="17" l="1"/>
  <c r="E44" i="17"/>
  <c r="E43" i="17"/>
  <c r="E40" i="17"/>
  <c r="AA1" i="16" l="1"/>
  <c r="W30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W3" i="16"/>
  <c r="AF29" i="20"/>
  <c r="AF7" i="20"/>
  <c r="B27" i="21" l="1"/>
  <c r="Q24" i="21"/>
  <c r="R24" i="21"/>
  <c r="S24" i="21"/>
  <c r="T24" i="21"/>
  <c r="X26" i="20" l="1"/>
  <c r="W23" i="20" l="1"/>
  <c r="W19" i="20"/>
  <c r="W14" i="20"/>
  <c r="W11" i="20"/>
  <c r="W8" i="20"/>
  <c r="W35" i="20" l="1"/>
  <c r="B6" i="4" l="1"/>
  <c r="T23" i="15"/>
  <c r="L20" i="15"/>
  <c r="E20" i="15"/>
  <c r="B5" i="4"/>
  <c r="B4" i="4"/>
  <c r="M6" i="14"/>
  <c r="AK39" i="11" l="1"/>
  <c r="T24" i="14"/>
  <c r="T16" i="14"/>
  <c r="T23" i="21"/>
  <c r="S23" i="21"/>
  <c r="R23" i="21"/>
  <c r="Q23" i="21"/>
  <c r="T22" i="21"/>
  <c r="S22" i="21"/>
  <c r="R22" i="21"/>
  <c r="Q22" i="21"/>
  <c r="T21" i="21"/>
  <c r="S21" i="21"/>
  <c r="R21" i="21"/>
  <c r="Q21" i="21"/>
  <c r="T20" i="21"/>
  <c r="S20" i="21"/>
  <c r="R20" i="21"/>
  <c r="Q20" i="21"/>
  <c r="T19" i="21"/>
  <c r="S19" i="21"/>
  <c r="R19" i="21"/>
  <c r="Q19" i="21"/>
  <c r="T18" i="21"/>
  <c r="S18" i="21"/>
  <c r="R18" i="21"/>
  <c r="Q18" i="21"/>
  <c r="T17" i="21"/>
  <c r="S17" i="21"/>
  <c r="R17" i="21"/>
  <c r="Q17" i="21"/>
  <c r="T16" i="21"/>
  <c r="S16" i="21"/>
  <c r="R16" i="21"/>
  <c r="Q16" i="21"/>
  <c r="T15" i="21"/>
  <c r="S15" i="21"/>
  <c r="R15" i="21"/>
  <c r="Q15" i="21"/>
  <c r="T14" i="21"/>
  <c r="S14" i="21"/>
  <c r="R14" i="21"/>
  <c r="Q14" i="21"/>
  <c r="T13" i="21"/>
  <c r="S13" i="21"/>
  <c r="R13" i="21"/>
  <c r="Q13" i="21"/>
  <c r="T12" i="21"/>
  <c r="S12" i="21"/>
  <c r="R12" i="21"/>
  <c r="Q12" i="21"/>
  <c r="T11" i="21"/>
  <c r="S11" i="21"/>
  <c r="R11" i="21"/>
  <c r="Q11" i="21"/>
  <c r="T10" i="21"/>
  <c r="S10" i="21"/>
  <c r="R10" i="21"/>
  <c r="Q10" i="21"/>
  <c r="T9" i="21"/>
  <c r="S9" i="21"/>
  <c r="R9" i="21"/>
  <c r="Q9" i="21"/>
  <c r="T8" i="21"/>
  <c r="S8" i="21"/>
  <c r="R8" i="21"/>
  <c r="Q8" i="21"/>
  <c r="T7" i="21"/>
  <c r="S7" i="21"/>
  <c r="R7" i="21"/>
  <c r="Q7" i="21"/>
  <c r="T6" i="21"/>
  <c r="S6" i="21"/>
  <c r="R6" i="21"/>
  <c r="Q6" i="21"/>
  <c r="AF35" i="20"/>
  <c r="X35" i="20"/>
  <c r="X23" i="20"/>
  <c r="X19" i="20"/>
  <c r="X14" i="20"/>
  <c r="X11" i="20"/>
  <c r="X8" i="20" s="1"/>
  <c r="V35" i="20"/>
  <c r="V23" i="20"/>
  <c r="V19" i="20"/>
  <c r="V14" i="20"/>
  <c r="V11" i="20"/>
  <c r="L6" i="4"/>
  <c r="O24" i="17"/>
  <c r="O18" i="17"/>
  <c r="P24" i="17"/>
  <c r="P18" i="17"/>
  <c r="K10" i="14" a="1"/>
  <c r="K10" i="14" s="1"/>
  <c r="L9" i="14"/>
  <c r="F35" i="22"/>
  <c r="G39" i="22"/>
  <c r="H39" i="22"/>
  <c r="I39" i="22"/>
  <c r="J39" i="22"/>
  <c r="G35" i="22"/>
  <c r="H35" i="22"/>
  <c r="I35" i="22"/>
  <c r="J35" i="22"/>
  <c r="F39" i="22"/>
  <c r="D30" i="16"/>
  <c r="E3" i="16"/>
  <c r="E30" i="16"/>
  <c r="G20" i="22"/>
  <c r="H20" i="22"/>
  <c r="I20" i="22"/>
  <c r="I8" i="22"/>
  <c r="J20" i="22"/>
  <c r="G21" i="22"/>
  <c r="H21" i="22"/>
  <c r="I21" i="22"/>
  <c r="J21" i="22"/>
  <c r="F20" i="22"/>
  <c r="G31" i="22"/>
  <c r="H31" i="22"/>
  <c r="I31" i="22"/>
  <c r="J31" i="22"/>
  <c r="F31" i="22"/>
  <c r="D31" i="22"/>
  <c r="N31" i="22" s="1"/>
  <c r="J12" i="22"/>
  <c r="G10" i="22"/>
  <c r="H10" i="22"/>
  <c r="I10" i="22"/>
  <c r="J10" i="22"/>
  <c r="F10" i="22"/>
  <c r="M2" i="22"/>
  <c r="N2" i="22"/>
  <c r="O2" i="22"/>
  <c r="P2" i="22"/>
  <c r="L2" i="22"/>
  <c r="G14" i="22"/>
  <c r="H14" i="22"/>
  <c r="I14" i="22"/>
  <c r="J14" i="22"/>
  <c r="F14" i="22"/>
  <c r="B14" i="4"/>
  <c r="G13" i="22"/>
  <c r="H13" i="22"/>
  <c r="I13" i="22"/>
  <c r="J13" i="22"/>
  <c r="F13" i="22"/>
  <c r="B13" i="4"/>
  <c r="D37" i="11" s="1"/>
  <c r="E37" i="11" s="1"/>
  <c r="F37" i="11" s="1"/>
  <c r="G37" i="11" s="1"/>
  <c r="G11" i="22"/>
  <c r="H11" i="22"/>
  <c r="I11" i="22"/>
  <c r="J11" i="22"/>
  <c r="F11" i="22"/>
  <c r="B11" i="4"/>
  <c r="K35" i="11" s="1"/>
  <c r="L35" i="11" s="1"/>
  <c r="F5" i="17"/>
  <c r="B10" i="4" s="1"/>
  <c r="D34" i="11" s="1"/>
  <c r="E34" i="11" s="1"/>
  <c r="F34" i="11" s="1"/>
  <c r="G34" i="11" s="1"/>
  <c r="H34" i="11" s="1"/>
  <c r="I34" i="11" s="1"/>
  <c r="G8" i="22"/>
  <c r="F21" i="22"/>
  <c r="J8" i="22"/>
  <c r="H8" i="22"/>
  <c r="G6" i="22"/>
  <c r="H6" i="22"/>
  <c r="I6" i="22"/>
  <c r="J6" i="22"/>
  <c r="F6" i="22"/>
  <c r="C30" i="11"/>
  <c r="D30" i="11" s="1"/>
  <c r="E30" i="11" s="1"/>
  <c r="I30" i="11" s="1"/>
  <c r="G5" i="22"/>
  <c r="H5" i="22"/>
  <c r="I5" i="22"/>
  <c r="J5" i="22"/>
  <c r="F5" i="22"/>
  <c r="E29" i="11"/>
  <c r="G29" i="11" s="1"/>
  <c r="H29" i="11" s="1"/>
  <c r="A28" i="11"/>
  <c r="B28" i="11" s="1"/>
  <c r="G4" i="22"/>
  <c r="H4" i="22"/>
  <c r="I4" i="22"/>
  <c r="J4" i="22"/>
  <c r="F4" i="22"/>
  <c r="F8" i="22"/>
  <c r="S5" i="21"/>
  <c r="T5" i="21"/>
  <c r="B6" i="21"/>
  <c r="B7" i="21"/>
  <c r="B8" i="21"/>
  <c r="B9" i="21" s="1"/>
  <c r="B10" i="21" s="1"/>
  <c r="B11" i="21" s="1"/>
  <c r="B12" i="21" s="1"/>
  <c r="B13" i="21" s="1"/>
  <c r="B14" i="21" s="1"/>
  <c r="B15" i="21" s="1"/>
  <c r="R5" i="21"/>
  <c r="Q5" i="21"/>
  <c r="R4" i="21"/>
  <c r="Q4" i="21"/>
  <c r="E134" i="20"/>
  <c r="U35" i="20"/>
  <c r="T35" i="20"/>
  <c r="S35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F35" i="20"/>
  <c r="E35" i="20"/>
  <c r="Q30" i="20"/>
  <c r="P30" i="20" s="1"/>
  <c r="O30" i="20" s="1"/>
  <c r="N30" i="20" s="1"/>
  <c r="M30" i="20" s="1"/>
  <c r="L30" i="20" s="1"/>
  <c r="K30" i="20" s="1"/>
  <c r="J30" i="20" s="1"/>
  <c r="I30" i="20" s="1"/>
  <c r="H30" i="20" s="1"/>
  <c r="G30" i="20" s="1"/>
  <c r="F30" i="20" s="1"/>
  <c r="E30" i="20" s="1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U11" i="20"/>
  <c r="T11" i="20"/>
  <c r="S11" i="20"/>
  <c r="S8" i="20" s="1"/>
  <c r="R11" i="20"/>
  <c r="Q11" i="20"/>
  <c r="P11" i="20"/>
  <c r="O11" i="20"/>
  <c r="N11" i="20"/>
  <c r="M11" i="20"/>
  <c r="L11" i="20"/>
  <c r="K11" i="20"/>
  <c r="K8" i="20" s="1"/>
  <c r="J11" i="20"/>
  <c r="I11" i="20"/>
  <c r="H11" i="20"/>
  <c r="G11" i="20"/>
  <c r="F11" i="20"/>
  <c r="E11" i="20"/>
  <c r="AD5" i="20"/>
  <c r="F5" i="20"/>
  <c r="F134" i="20" s="1"/>
  <c r="AB1" i="20"/>
  <c r="AF5" i="20"/>
  <c r="D36" i="4"/>
  <c r="Q3" i="11" s="1"/>
  <c r="N1" i="9"/>
  <c r="F38" i="9"/>
  <c r="M11" i="4"/>
  <c r="E46" i="17"/>
  <c r="Q18" i="17"/>
  <c r="Q19" i="17"/>
  <c r="Q20" i="17"/>
  <c r="Q21" i="17"/>
  <c r="D33" i="17"/>
  <c r="C26" i="19"/>
  <c r="Y5" i="16"/>
  <c r="F14" i="17"/>
  <c r="J18" i="4" s="1"/>
  <c r="P20" i="17"/>
  <c r="O20" i="17"/>
  <c r="N20" i="17"/>
  <c r="P21" i="17"/>
  <c r="O21" i="17"/>
  <c r="P26" i="17"/>
  <c r="O26" i="17"/>
  <c r="P22" i="17"/>
  <c r="O22" i="17"/>
  <c r="P19" i="17"/>
  <c r="O19" i="17"/>
  <c r="P23" i="17"/>
  <c r="O23" i="17"/>
  <c r="P25" i="17"/>
  <c r="O25" i="17"/>
  <c r="Q25" i="17"/>
  <c r="Q24" i="17"/>
  <c r="N25" i="17"/>
  <c r="N24" i="17"/>
  <c r="N21" i="17"/>
  <c r="N19" i="17"/>
  <c r="N18" i="17"/>
  <c r="F21" i="17"/>
  <c r="AH14" i="15"/>
  <c r="O16" i="14"/>
  <c r="O14" i="14" s="1"/>
  <c r="O13" i="14" s="1"/>
  <c r="S18" i="14"/>
  <c r="U53" i="11"/>
  <c r="V53" i="11"/>
  <c r="W50" i="11"/>
  <c r="X50" i="11"/>
  <c r="U45" i="11"/>
  <c r="AA45" i="11"/>
  <c r="W44" i="11"/>
  <c r="Y44" i="11"/>
  <c r="Z44" i="11"/>
  <c r="S43" i="11"/>
  <c r="T43" i="11"/>
  <c r="J5" i="4"/>
  <c r="F23" i="8" s="1"/>
  <c r="AH13" i="15"/>
  <c r="AI13" i="15" s="1"/>
  <c r="AG10" i="15"/>
  <c r="F12" i="22" s="1"/>
  <c r="AB12" i="15"/>
  <c r="AA12" i="15"/>
  <c r="Z12" i="15"/>
  <c r="Y12" i="15"/>
  <c r="Y5" i="15"/>
  <c r="J7" i="4"/>
  <c r="U10" i="15"/>
  <c r="N10" i="15"/>
  <c r="D4" i="15"/>
  <c r="U12" i="15"/>
  <c r="R5" i="15"/>
  <c r="T12" i="15"/>
  <c r="N12" i="15"/>
  <c r="G11" i="15"/>
  <c r="G10" i="15"/>
  <c r="G9" i="15"/>
  <c r="F13" i="15"/>
  <c r="E13" i="15"/>
  <c r="D13" i="15"/>
  <c r="C13" i="15"/>
  <c r="S12" i="15"/>
  <c r="R12" i="15"/>
  <c r="M12" i="15"/>
  <c r="L12" i="15"/>
  <c r="K12" i="15"/>
  <c r="C6" i="15"/>
  <c r="D5" i="15"/>
  <c r="E14" i="4"/>
  <c r="H4" i="14"/>
  <c r="C8" i="14"/>
  <c r="J4" i="4" s="1"/>
  <c r="L8" i="14"/>
  <c r="O4" i="4"/>
  <c r="N4" i="4"/>
  <c r="R3" i="4"/>
  <c r="R4" i="4"/>
  <c r="I27" i="4"/>
  <c r="A2" i="10"/>
  <c r="G32" i="12"/>
  <c r="J32" i="12"/>
  <c r="G31" i="12"/>
  <c r="J31" i="12"/>
  <c r="G30" i="12"/>
  <c r="J30" i="12"/>
  <c r="G29" i="12"/>
  <c r="G28" i="12"/>
  <c r="J28" i="12"/>
  <c r="G27" i="12"/>
  <c r="J27" i="12"/>
  <c r="G25" i="12"/>
  <c r="J25" i="12"/>
  <c r="J29" i="12"/>
  <c r="G26" i="12"/>
  <c r="G33" i="12"/>
  <c r="H29" i="12"/>
  <c r="H28" i="12"/>
  <c r="H27" i="12"/>
  <c r="H32" i="12"/>
  <c r="H31" i="12"/>
  <c r="H26" i="12"/>
  <c r="H33" i="12"/>
  <c r="H30" i="12"/>
  <c r="H25" i="12"/>
  <c r="J26" i="12"/>
  <c r="D33" i="12"/>
  <c r="E31" i="12"/>
  <c r="J33" i="12"/>
  <c r="E29" i="12"/>
  <c r="E28" i="12"/>
  <c r="E32" i="12"/>
  <c r="E25" i="12"/>
  <c r="E33" i="12"/>
  <c r="E26" i="12"/>
  <c r="E30" i="12"/>
  <c r="E27" i="12"/>
  <c r="R39" i="11"/>
  <c r="AG54" i="11"/>
  <c r="AF54" i="11"/>
  <c r="AE54" i="11"/>
  <c r="AD54" i="11"/>
  <c r="AC54" i="11"/>
  <c r="R54" i="11"/>
  <c r="AG38" i="11"/>
  <c r="AF38" i="11"/>
  <c r="AE38" i="11"/>
  <c r="AD38" i="11"/>
  <c r="AC38" i="11"/>
  <c r="AB38" i="11"/>
  <c r="AA38" i="11"/>
  <c r="Z38" i="11"/>
  <c r="Y38" i="11"/>
  <c r="X38" i="11"/>
  <c r="T38" i="11"/>
  <c r="S38" i="11"/>
  <c r="AG37" i="11"/>
  <c r="AF37" i="11"/>
  <c r="AE37" i="11"/>
  <c r="AD37" i="11"/>
  <c r="AC37" i="11"/>
  <c r="AB37" i="11"/>
  <c r="AA37" i="11"/>
  <c r="Z37" i="11"/>
  <c r="U37" i="11"/>
  <c r="T37" i="11"/>
  <c r="S37" i="11"/>
  <c r="AG36" i="11"/>
  <c r="AF36" i="11"/>
  <c r="AE36" i="11"/>
  <c r="AD36" i="11"/>
  <c r="AC36" i="11"/>
  <c r="T36" i="11"/>
  <c r="S36" i="11"/>
  <c r="AG35" i="11"/>
  <c r="AF35" i="11"/>
  <c r="AE35" i="11"/>
  <c r="AB35" i="11"/>
  <c r="AA35" i="11"/>
  <c r="Z35" i="11"/>
  <c r="V35" i="11"/>
  <c r="U35" i="11"/>
  <c r="T35" i="11"/>
  <c r="S35" i="11"/>
  <c r="AG34" i="11"/>
  <c r="AF34" i="11"/>
  <c r="AE34" i="11"/>
  <c r="AD34" i="11"/>
  <c r="AC34" i="11"/>
  <c r="AG33" i="11"/>
  <c r="AF33" i="11"/>
  <c r="AE33" i="11"/>
  <c r="AD33" i="11"/>
  <c r="AC33" i="11"/>
  <c r="AB33" i="11"/>
  <c r="AA33" i="11"/>
  <c r="Z33" i="11"/>
  <c r="Y33" i="11"/>
  <c r="X33" i="11"/>
  <c r="W33" i="11"/>
  <c r="T33" i="11"/>
  <c r="S33" i="11"/>
  <c r="AG32" i="11"/>
  <c r="AF32" i="11"/>
  <c r="AE32" i="11"/>
  <c r="AD32" i="11"/>
  <c r="AC32" i="11"/>
  <c r="AA32" i="11"/>
  <c r="Z32" i="11"/>
  <c r="X32" i="11"/>
  <c r="U32" i="11"/>
  <c r="T32" i="11"/>
  <c r="S32" i="11"/>
  <c r="AG31" i="11"/>
  <c r="AF31" i="11"/>
  <c r="AE31" i="11"/>
  <c r="AD31" i="11"/>
  <c r="AC31" i="11"/>
  <c r="AB31" i="11"/>
  <c r="AA31" i="11"/>
  <c r="Z31" i="11"/>
  <c r="Y31" i="11"/>
  <c r="U31" i="11"/>
  <c r="T31" i="11"/>
  <c r="S31" i="11"/>
  <c r="AG30" i="11"/>
  <c r="AF30" i="11"/>
  <c r="AE30" i="11"/>
  <c r="AD30" i="11"/>
  <c r="AC30" i="11"/>
  <c r="AB30" i="11"/>
  <c r="Z30" i="11"/>
  <c r="Y30" i="11"/>
  <c r="X30" i="11"/>
  <c r="T30" i="11"/>
  <c r="S30" i="11"/>
  <c r="AG29" i="11"/>
  <c r="AF29" i="11"/>
  <c r="AE29" i="11"/>
  <c r="AD29" i="11"/>
  <c r="AC29" i="11"/>
  <c r="AB29" i="11"/>
  <c r="AA29" i="11"/>
  <c r="X29" i="11"/>
  <c r="V29" i="11"/>
  <c r="U29" i="11"/>
  <c r="T29" i="11"/>
  <c r="S29" i="11"/>
  <c r="AG28" i="11"/>
  <c r="AF28" i="11"/>
  <c r="AE28" i="11"/>
  <c r="AD28" i="11"/>
  <c r="AC28" i="11"/>
  <c r="AB28" i="11"/>
  <c r="AA28" i="11"/>
  <c r="Z28" i="11"/>
  <c r="Y28" i="11"/>
  <c r="X28" i="11"/>
  <c r="W28" i="11"/>
  <c r="V28" i="11"/>
  <c r="U28" i="11"/>
  <c r="D52" i="11"/>
  <c r="D27" i="3"/>
  <c r="C27" i="10"/>
  <c r="C38" i="11"/>
  <c r="D38" i="11"/>
  <c r="E38" i="11"/>
  <c r="O27" i="11"/>
  <c r="O42" i="11"/>
  <c r="G27" i="11"/>
  <c r="G42" i="11"/>
  <c r="H27" i="11"/>
  <c r="H42" i="11"/>
  <c r="I27" i="11"/>
  <c r="I42" i="11"/>
  <c r="J27" i="11"/>
  <c r="J42" i="11"/>
  <c r="K27" i="11"/>
  <c r="K42" i="11"/>
  <c r="L27" i="11"/>
  <c r="L42" i="11"/>
  <c r="M27" i="11"/>
  <c r="M42" i="11"/>
  <c r="N27" i="11"/>
  <c r="N42" i="11"/>
  <c r="F27" i="11"/>
  <c r="F42" i="11"/>
  <c r="E27" i="11"/>
  <c r="E42" i="11"/>
  <c r="D27" i="11"/>
  <c r="D42" i="11"/>
  <c r="C27" i="11"/>
  <c r="C42" i="11"/>
  <c r="B27" i="11"/>
  <c r="B42" i="11"/>
  <c r="A27" i="11"/>
  <c r="A42" i="11"/>
  <c r="J27" i="4"/>
  <c r="D25" i="3"/>
  <c r="E38" i="8"/>
  <c r="D38" i="8"/>
  <c r="B48" i="8"/>
  <c r="F22" i="8"/>
  <c r="B1" i="8"/>
  <c r="W45" i="11"/>
  <c r="V45" i="11"/>
  <c r="W53" i="11"/>
  <c r="H22" i="22"/>
  <c r="H9" i="22"/>
  <c r="B9" i="4"/>
  <c r="J22" i="22"/>
  <c r="F22" i="22"/>
  <c r="F9" i="22"/>
  <c r="I22" i="22"/>
  <c r="I9" i="22"/>
  <c r="J9" i="22"/>
  <c r="G22" i="22"/>
  <c r="G9" i="22"/>
  <c r="D28" i="3"/>
  <c r="C28" i="10"/>
  <c r="G32" i="22"/>
  <c r="F32" i="22"/>
  <c r="J32" i="22"/>
  <c r="H32" i="22"/>
  <c r="I32" i="22"/>
  <c r="F52" i="11"/>
  <c r="G52" i="11"/>
  <c r="D18" i="3"/>
  <c r="C18" i="10"/>
  <c r="C48" i="11"/>
  <c r="D48" i="11"/>
  <c r="C33" i="11"/>
  <c r="D33" i="11"/>
  <c r="C25" i="10"/>
  <c r="I27" i="3"/>
  <c r="I37" i="22"/>
  <c r="J37" i="22"/>
  <c r="G37" i="22"/>
  <c r="F37" i="22"/>
  <c r="H37" i="22"/>
  <c r="L8" i="20"/>
  <c r="F3" i="16"/>
  <c r="F30" i="16" s="1"/>
  <c r="G8" i="20"/>
  <c r="F8" i="20"/>
  <c r="N8" i="20"/>
  <c r="U8" i="20"/>
  <c r="T8" i="20"/>
  <c r="O1" i="9"/>
  <c r="F19" i="9"/>
  <c r="F37" i="9"/>
  <c r="C41" i="9"/>
  <c r="F13" i="9"/>
  <c r="J13" i="9" s="1"/>
  <c r="F23" i="9"/>
  <c r="F28" i="9"/>
  <c r="F33" i="9"/>
  <c r="F39" i="9"/>
  <c r="F11" i="9"/>
  <c r="J11" i="9" s="1"/>
  <c r="F18" i="9"/>
  <c r="F25" i="9"/>
  <c r="F31" i="9"/>
  <c r="F36" i="9"/>
  <c r="F12" i="9"/>
  <c r="F27" i="9"/>
  <c r="F32" i="9"/>
  <c r="F7" i="9"/>
  <c r="J7" i="9" s="1"/>
  <c r="F17" i="9"/>
  <c r="J17" i="9" s="1"/>
  <c r="F24" i="9"/>
  <c r="F29" i="9"/>
  <c r="J29" i="9" s="1"/>
  <c r="F35" i="9"/>
  <c r="F8" i="9"/>
  <c r="F16" i="9"/>
  <c r="J16" i="9" s="1"/>
  <c r="F22" i="9"/>
  <c r="F26" i="9"/>
  <c r="F30" i="9"/>
  <c r="J30" i="9" s="1"/>
  <c r="F34" i="9"/>
  <c r="E8" i="20"/>
  <c r="M8" i="20"/>
  <c r="E17" i="17"/>
  <c r="F17" i="17" s="1"/>
  <c r="E15" i="17"/>
  <c r="F15" i="17" s="1"/>
  <c r="E13" i="17"/>
  <c r="F13" i="17" s="1"/>
  <c r="E12" i="17"/>
  <c r="F12" i="17" s="1"/>
  <c r="E18" i="17"/>
  <c r="F18" i="17" s="1"/>
  <c r="O19" i="14"/>
  <c r="P18" i="14"/>
  <c r="G3" i="16"/>
  <c r="G30" i="16" s="1"/>
  <c r="AK41" i="11"/>
  <c r="E20" i="17" l="1"/>
  <c r="F20" i="17" s="1"/>
  <c r="E16" i="17"/>
  <c r="F16" i="17" s="1"/>
  <c r="I26" i="22" s="1"/>
  <c r="E19" i="17"/>
  <c r="F19" i="17" s="1"/>
  <c r="J14" i="4" s="1"/>
  <c r="D19" i="3" s="1"/>
  <c r="C19" i="10" s="1"/>
  <c r="K21" i="14"/>
  <c r="L21" i="14"/>
  <c r="L10" i="14"/>
  <c r="O24" i="14"/>
  <c r="I7" i="22"/>
  <c r="F19" i="22"/>
  <c r="F38" i="22" s="1"/>
  <c r="J7" i="22"/>
  <c r="J15" i="22" s="1"/>
  <c r="G19" i="22"/>
  <c r="G38" i="22" s="1"/>
  <c r="F7" i="22"/>
  <c r="F15" i="22" s="1"/>
  <c r="H7" i="22"/>
  <c r="D15" i="3"/>
  <c r="H19" i="22"/>
  <c r="H38" i="22" s="1"/>
  <c r="G7" i="22"/>
  <c r="D46" i="11"/>
  <c r="E46" i="11" s="1"/>
  <c r="I19" i="22"/>
  <c r="I38" i="22" s="1"/>
  <c r="B7" i="4"/>
  <c r="D31" i="11" s="1"/>
  <c r="E31" i="11" s="1"/>
  <c r="F31" i="11" s="1"/>
  <c r="J19" i="22"/>
  <c r="J38" i="22" s="1"/>
  <c r="F46" i="11"/>
  <c r="J6" i="4"/>
  <c r="H25" i="22"/>
  <c r="P12" i="16"/>
  <c r="W10" i="16"/>
  <c r="W11" i="16"/>
  <c r="W12" i="16"/>
  <c r="H3" i="16"/>
  <c r="P8" i="20"/>
  <c r="G5" i="20"/>
  <c r="G134" i="20" s="1"/>
  <c r="L31" i="22"/>
  <c r="O31" i="22"/>
  <c r="M31" i="22"/>
  <c r="P31" i="22"/>
  <c r="J8" i="20"/>
  <c r="R8" i="20"/>
  <c r="I8" i="20"/>
  <c r="Q8" i="20"/>
  <c r="H8" i="20"/>
  <c r="O8" i="20"/>
  <c r="V8" i="20"/>
  <c r="J27" i="22"/>
  <c r="G27" i="22"/>
  <c r="F9" i="17"/>
  <c r="E9" i="17" s="1"/>
  <c r="B16" i="21"/>
  <c r="B17" i="21" s="1"/>
  <c r="B18" i="21" s="1"/>
  <c r="B19" i="21" s="1"/>
  <c r="B20" i="21" s="1"/>
  <c r="B21" i="21" s="1"/>
  <c r="B22" i="21" s="1"/>
  <c r="B23" i="21" s="1"/>
  <c r="B24" i="21" s="1"/>
  <c r="K27" i="21" s="1"/>
  <c r="Y74" i="11" s="1"/>
  <c r="O27" i="21"/>
  <c r="AC74" i="11" s="1"/>
  <c r="N27" i="21"/>
  <c r="AB74" i="11" s="1"/>
  <c r="L27" i="21"/>
  <c r="Z74" i="11" s="1"/>
  <c r="B3" i="3"/>
  <c r="A3" i="10" s="1"/>
  <c r="H5" i="20"/>
  <c r="G27" i="21"/>
  <c r="U74" i="11" s="1"/>
  <c r="M27" i="21"/>
  <c r="AA74" i="11" s="1"/>
  <c r="T27" i="21"/>
  <c r="AG74" i="11" s="1"/>
  <c r="E27" i="21"/>
  <c r="S74" i="11" s="1"/>
  <c r="Q27" i="21"/>
  <c r="AD74" i="11" s="1"/>
  <c r="F27" i="21"/>
  <c r="T74" i="11" s="1"/>
  <c r="J24" i="22"/>
  <c r="V12" i="17"/>
  <c r="R42" i="20" s="1"/>
  <c r="H24" i="22"/>
  <c r="F24" i="22"/>
  <c r="J15" i="4"/>
  <c r="D20" i="3" s="1"/>
  <c r="C20" i="10" s="1"/>
  <c r="I24" i="22"/>
  <c r="V13" i="17"/>
  <c r="AF38" i="20" s="1"/>
  <c r="I23" i="22"/>
  <c r="G23" i="22"/>
  <c r="H23" i="22"/>
  <c r="F26" i="22"/>
  <c r="G26" i="22"/>
  <c r="V17" i="17"/>
  <c r="J25" i="22"/>
  <c r="I25" i="22"/>
  <c r="F25" i="22"/>
  <c r="G25" i="22"/>
  <c r="G24" i="22"/>
  <c r="F27" i="22"/>
  <c r="J16" i="4"/>
  <c r="D21" i="3" s="1"/>
  <c r="C21" i="10" s="1"/>
  <c r="H27" i="22"/>
  <c r="I27" i="22"/>
  <c r="C5" i="8"/>
  <c r="L5" i="9"/>
  <c r="C43" i="9"/>
  <c r="E35" i="11"/>
  <c r="F35" i="11" s="1"/>
  <c r="G35" i="11" s="1"/>
  <c r="I28" i="22"/>
  <c r="H28" i="22"/>
  <c r="AI5" i="15"/>
  <c r="AI10" i="15" s="1"/>
  <c r="AH10" i="15" s="1"/>
  <c r="G13" i="15"/>
  <c r="I12" i="22"/>
  <c r="I15" i="22" s="1"/>
  <c r="G28" i="22"/>
  <c r="H12" i="22"/>
  <c r="G12" i="22"/>
  <c r="G15" i="22" s="1"/>
  <c r="AI14" i="15"/>
  <c r="J21" i="4"/>
  <c r="D51" i="11" s="1"/>
  <c r="E51" i="11" s="1"/>
  <c r="F28" i="22"/>
  <c r="J28" i="22"/>
  <c r="D4" i="12"/>
  <c r="D39" i="8"/>
  <c r="C5" i="10"/>
  <c r="C38" i="10" s="1"/>
  <c r="E39" i="8"/>
  <c r="D5" i="3"/>
  <c r="U12" i="16"/>
  <c r="D12" i="9"/>
  <c r="C44" i="9"/>
  <c r="AD39" i="11"/>
  <c r="D11" i="9"/>
  <c r="C42" i="9"/>
  <c r="D23" i="3"/>
  <c r="C23" i="10" s="1"/>
  <c r="AF39" i="11"/>
  <c r="AG39" i="11"/>
  <c r="AC39" i="11"/>
  <c r="AE39" i="11"/>
  <c r="P11" i="16"/>
  <c r="J12" i="16"/>
  <c r="V12" i="16"/>
  <c r="H12" i="16"/>
  <c r="M11" i="16"/>
  <c r="E10" i="16"/>
  <c r="H10" i="16"/>
  <c r="J11" i="16"/>
  <c r="L11" i="16"/>
  <c r="T10" i="16"/>
  <c r="S11" i="16"/>
  <c r="G10" i="16"/>
  <c r="S10" i="16"/>
  <c r="N14" i="14"/>
  <c r="N8" i="14" s="1"/>
  <c r="O15" i="14"/>
  <c r="O17" i="14"/>
  <c r="I12" i="16"/>
  <c r="S12" i="16"/>
  <c r="D11" i="16"/>
  <c r="R11" i="16"/>
  <c r="J10" i="16"/>
  <c r="F12" i="16"/>
  <c r="E11" i="16"/>
  <c r="R10" i="16"/>
  <c r="K10" i="16"/>
  <c r="F10" i="16"/>
  <c r="T12" i="16"/>
  <c r="K12" i="16"/>
  <c r="H11" i="16"/>
  <c r="L12" i="16"/>
  <c r="M12" i="16"/>
  <c r="I11" i="16"/>
  <c r="U11" i="16"/>
  <c r="O10" i="16"/>
  <c r="L10" i="16"/>
  <c r="I10" i="16"/>
  <c r="V10" i="16"/>
  <c r="O12" i="16"/>
  <c r="K11" i="16"/>
  <c r="U10" i="16"/>
  <c r="Q10" i="16"/>
  <c r="N10" i="16"/>
  <c r="G12" i="16"/>
  <c r="V11" i="16"/>
  <c r="E12" i="16"/>
  <c r="P10" i="16"/>
  <c r="M10" i="16"/>
  <c r="D12" i="16"/>
  <c r="R12" i="16"/>
  <c r="O11" i="16"/>
  <c r="N11" i="16"/>
  <c r="D10" i="16"/>
  <c r="G11" i="16"/>
  <c r="Q12" i="16"/>
  <c r="N12" i="16"/>
  <c r="F11" i="16"/>
  <c r="T11" i="16"/>
  <c r="Q11" i="16"/>
  <c r="AA3" i="16"/>
  <c r="J17" i="4" l="1"/>
  <c r="D22" i="3" s="1"/>
  <c r="C22" i="10" s="1"/>
  <c r="F42" i="20"/>
  <c r="J26" i="22"/>
  <c r="H26" i="22"/>
  <c r="Q42" i="20"/>
  <c r="F23" i="22"/>
  <c r="J23" i="22"/>
  <c r="AF42" i="20"/>
  <c r="N42" i="20"/>
  <c r="K42" i="20"/>
  <c r="S42" i="20"/>
  <c r="O42" i="20"/>
  <c r="I42" i="20"/>
  <c r="M42" i="20"/>
  <c r="P42" i="20"/>
  <c r="E42" i="20"/>
  <c r="M38" i="20"/>
  <c r="X42" i="20"/>
  <c r="U38" i="20"/>
  <c r="J42" i="20"/>
  <c r="X38" i="20"/>
  <c r="G38" i="20"/>
  <c r="N38" i="20"/>
  <c r="R38" i="20"/>
  <c r="H15" i="22"/>
  <c r="D37" i="3"/>
  <c r="C15" i="10"/>
  <c r="C37" i="10" s="1"/>
  <c r="T42" i="20"/>
  <c r="V42" i="20"/>
  <c r="W42" i="20"/>
  <c r="L42" i="20"/>
  <c r="W38" i="20"/>
  <c r="G42" i="20"/>
  <c r="U42" i="20"/>
  <c r="V38" i="20"/>
  <c r="H42" i="20"/>
  <c r="W5" i="16"/>
  <c r="W6" i="16" s="1"/>
  <c r="W7" i="16" s="1"/>
  <c r="I3" i="16"/>
  <c r="H30" i="16"/>
  <c r="G9" i="20"/>
  <c r="F9" i="20" s="1"/>
  <c r="E9" i="20" s="1"/>
  <c r="I9" i="20"/>
  <c r="J9" i="20" s="1"/>
  <c r="K9" i="20" s="1"/>
  <c r="L9" i="20" s="1"/>
  <c r="M9" i="20" s="1"/>
  <c r="N9" i="20" s="1"/>
  <c r="O9" i="20" s="1"/>
  <c r="P9" i="20" s="1"/>
  <c r="Q9" i="20" s="1"/>
  <c r="R9" i="20" s="1"/>
  <c r="S9" i="20" s="1"/>
  <c r="T9" i="20" s="1"/>
  <c r="U9" i="20" s="1"/>
  <c r="D27" i="21"/>
  <c r="R74" i="11" s="1"/>
  <c r="S27" i="21"/>
  <c r="AF74" i="11" s="1"/>
  <c r="I27" i="21"/>
  <c r="W74" i="11" s="1"/>
  <c r="J27" i="21"/>
  <c r="X74" i="11" s="1"/>
  <c r="H27" i="21"/>
  <c r="V74" i="11" s="1"/>
  <c r="R27" i="21"/>
  <c r="AE74" i="11" s="1"/>
  <c r="R5" i="11"/>
  <c r="B3" i="8"/>
  <c r="I5" i="20"/>
  <c r="H134" i="20"/>
  <c r="D49" i="11"/>
  <c r="G49" i="11" s="1"/>
  <c r="L38" i="20"/>
  <c r="H38" i="20"/>
  <c r="E38" i="20"/>
  <c r="K38" i="20"/>
  <c r="Q38" i="20"/>
  <c r="F38" i="20"/>
  <c r="I38" i="20"/>
  <c r="P38" i="20"/>
  <c r="T38" i="20"/>
  <c r="O38" i="20"/>
  <c r="J38" i="20"/>
  <c r="S38" i="20"/>
  <c r="E49" i="11"/>
  <c r="C33" i="10"/>
  <c r="B12" i="4"/>
  <c r="D24" i="3"/>
  <c r="C24" i="10" s="1"/>
  <c r="F30" i="22"/>
  <c r="H30" i="22"/>
  <c r="G30" i="22"/>
  <c r="J23" i="4"/>
  <c r="D26" i="3" s="1"/>
  <c r="C26" i="10" s="1"/>
  <c r="I30" i="22"/>
  <c r="J30" i="22"/>
  <c r="G51" i="11"/>
  <c r="H51" i="11" s="1"/>
  <c r="I51" i="11" s="1"/>
  <c r="J51" i="11" s="1"/>
  <c r="D33" i="3"/>
  <c r="U5" i="16"/>
  <c r="U6" i="16" s="1"/>
  <c r="U7" i="16" s="1"/>
  <c r="P5" i="16"/>
  <c r="P6" i="16" s="1"/>
  <c r="P7" i="16" s="1"/>
  <c r="D38" i="3"/>
  <c r="J27" i="3"/>
  <c r="L5" i="16"/>
  <c r="L6" i="16" s="1"/>
  <c r="L7" i="16" s="1"/>
  <c r="J5" i="16"/>
  <c r="J6" i="16" s="1"/>
  <c r="J7" i="16" s="1"/>
  <c r="S5" i="16"/>
  <c r="S6" i="16" s="1"/>
  <c r="S7" i="16" s="1"/>
  <c r="H5" i="16"/>
  <c r="H6" i="16" s="1"/>
  <c r="H7" i="16" s="1"/>
  <c r="G5" i="16"/>
  <c r="G6" i="16" s="1"/>
  <c r="F5" i="16"/>
  <c r="F6" i="16" s="1"/>
  <c r="F7" i="16" s="1"/>
  <c r="D5" i="16"/>
  <c r="D6" i="16" s="1"/>
  <c r="D7" i="16" s="1"/>
  <c r="K5" i="16"/>
  <c r="K6" i="16" s="1"/>
  <c r="K7" i="16" s="1"/>
  <c r="N13" i="14"/>
  <c r="T5" i="16"/>
  <c r="T6" i="16" s="1"/>
  <c r="T7" i="16" s="1"/>
  <c r="I5" i="16"/>
  <c r="I6" i="16" s="1"/>
  <c r="I7" i="16" s="1"/>
  <c r="E5" i="16"/>
  <c r="E6" i="16" s="1"/>
  <c r="O5" i="16"/>
  <c r="O6" i="16" s="1"/>
  <c r="M5" i="16"/>
  <c r="M6" i="16" s="1"/>
  <c r="M7" i="16" s="1"/>
  <c r="V5" i="16"/>
  <c r="R5" i="16"/>
  <c r="N5" i="16"/>
  <c r="Q5" i="16"/>
  <c r="I30" i="16" l="1"/>
  <c r="J3" i="16"/>
  <c r="W9" i="20"/>
  <c r="V9" i="20"/>
  <c r="R41" i="11"/>
  <c r="R64" i="11"/>
  <c r="R58" i="11"/>
  <c r="R26" i="11"/>
  <c r="J5" i="20"/>
  <c r="I134" i="20"/>
  <c r="H49" i="11"/>
  <c r="I49" i="11" s="1"/>
  <c r="F49" i="11"/>
  <c r="G36" i="11"/>
  <c r="H36" i="11" s="1"/>
  <c r="I36" i="11" s="1"/>
  <c r="J36" i="11" s="1"/>
  <c r="D36" i="11"/>
  <c r="E36" i="11" s="1"/>
  <c r="G7" i="16"/>
  <c r="N17" i="14"/>
  <c r="N22" i="14" s="1"/>
  <c r="N10" i="14" s="1"/>
  <c r="O7" i="16"/>
  <c r="N15" i="14"/>
  <c r="E7" i="16"/>
  <c r="Q6" i="16"/>
  <c r="Q7" i="16" s="1"/>
  <c r="R6" i="16"/>
  <c r="R7" i="16" s="1"/>
  <c r="V6" i="16"/>
  <c r="N6" i="16"/>
  <c r="N7" i="16" s="1"/>
  <c r="K3" i="16" l="1"/>
  <c r="J30" i="16"/>
  <c r="AF9" i="20"/>
  <c r="X9" i="20"/>
  <c r="K5" i="20"/>
  <c r="J134" i="20"/>
  <c r="V7" i="16"/>
  <c r="N21" i="14"/>
  <c r="E12" i="4" s="1"/>
  <c r="N9" i="14"/>
  <c r="D47" i="11" l="1"/>
  <c r="E47" i="11" s="1"/>
  <c r="G47" i="11"/>
  <c r="D16" i="3"/>
  <c r="C16" i="10" s="1"/>
  <c r="K30" i="16"/>
  <c r="L3" i="16"/>
  <c r="L5" i="20"/>
  <c r="K134" i="20"/>
  <c r="N25" i="14"/>
  <c r="T18" i="14" s="1"/>
  <c r="E13" i="4"/>
  <c r="N23" i="14"/>
  <c r="Q9" i="14"/>
  <c r="B8" i="4" s="1"/>
  <c r="L30" i="16" l="1"/>
  <c r="M3" i="16"/>
  <c r="M5" i="20"/>
  <c r="L134" i="20"/>
  <c r="G32" i="11"/>
  <c r="J32" i="11"/>
  <c r="B16" i="4"/>
  <c r="D32" i="11"/>
  <c r="E32" i="11" s="1"/>
  <c r="J47" i="11"/>
  <c r="D17" i="3"/>
  <c r="R5" i="4"/>
  <c r="M30" i="16" l="1"/>
  <c r="N3" i="16"/>
  <c r="M134" i="20"/>
  <c r="N5" i="20"/>
  <c r="C17" i="10"/>
  <c r="C36" i="10" s="1"/>
  <c r="D36" i="3"/>
  <c r="C11" i="10"/>
  <c r="E4" i="4"/>
  <c r="D11" i="3" s="1"/>
  <c r="N30" i="16" l="1"/>
  <c r="O3" i="16"/>
  <c r="O5" i="20"/>
  <c r="N134" i="20"/>
  <c r="O30" i="16" l="1"/>
  <c r="P3" i="16"/>
  <c r="O134" i="20"/>
  <c r="P5" i="20"/>
  <c r="P30" i="16" l="1"/>
  <c r="Q3" i="16"/>
  <c r="Q5" i="20"/>
  <c r="P134" i="20"/>
  <c r="Q30" i="16" l="1"/>
  <c r="R3" i="16"/>
  <c r="R5" i="20"/>
  <c r="Q134" i="20"/>
  <c r="S3" i="16" l="1"/>
  <c r="R30" i="16"/>
  <c r="S5" i="20"/>
  <c r="R134" i="20"/>
  <c r="S30" i="16" l="1"/>
  <c r="T3" i="16"/>
  <c r="T5" i="20"/>
  <c r="S134" i="20"/>
  <c r="T30" i="16" l="1"/>
  <c r="U3" i="16"/>
  <c r="U5" i="20"/>
  <c r="T134" i="20"/>
  <c r="V3" i="16" l="1"/>
  <c r="V30" i="16" s="1"/>
  <c r="U30" i="16"/>
  <c r="U134" i="20"/>
  <c r="V5" i="20"/>
  <c r="W5" i="20" s="1"/>
  <c r="AA6" i="16" l="1" a="1"/>
  <c r="AA6" i="16" s="1"/>
  <c r="AA20" i="16" a="1"/>
  <c r="AA20" i="16" s="1"/>
  <c r="AA8" i="16"/>
  <c r="D53" i="22" s="1"/>
  <c r="AA24" i="16" a="1"/>
  <c r="AA24" i="16" s="1"/>
  <c r="AA5" i="16" a="1"/>
  <c r="AA5" i="16" s="1"/>
  <c r="AA23" i="16" a="1"/>
  <c r="AA23" i="16" s="1"/>
  <c r="AA27" i="16" a="1"/>
  <c r="AA27" i="16" s="1"/>
  <c r="AA19" i="16" a="1"/>
  <c r="AA19" i="16" s="1"/>
  <c r="AA26" i="16" a="1"/>
  <c r="AA26" i="16" s="1"/>
  <c r="AA18" i="16" a="1"/>
  <c r="AA18" i="16" s="1"/>
  <c r="AA22" i="16" a="1"/>
  <c r="AA22" i="16" s="1"/>
  <c r="AA16" i="16" a="1"/>
  <c r="AA16" i="16" s="1"/>
  <c r="AA28" i="16" a="1"/>
  <c r="AA28" i="16" s="1"/>
  <c r="AA15" i="16" a="1"/>
  <c r="AA15" i="16" s="1"/>
  <c r="X5" i="20"/>
  <c r="X134" i="20" s="1"/>
  <c r="W134" i="20"/>
  <c r="V134" i="20"/>
  <c r="E28" i="4" l="1"/>
  <c r="AA7" i="16"/>
  <c r="E29" i="4" s="1"/>
  <c r="H57" i="22"/>
  <c r="G57" i="22"/>
  <c r="J57" i="22"/>
  <c r="I57" i="22"/>
  <c r="F57" i="22"/>
  <c r="F60" i="22"/>
  <c r="I60" i="22"/>
  <c r="H60" i="22"/>
  <c r="AA14" i="16"/>
  <c r="G60" i="22"/>
  <c r="J60" i="22"/>
  <c r="G61" i="22"/>
  <c r="H61" i="22"/>
  <c r="F61" i="22"/>
  <c r="J61" i="22"/>
  <c r="I61" i="22"/>
  <c r="I56" i="22"/>
  <c r="F56" i="22"/>
  <c r="H56" i="22"/>
  <c r="J56" i="22"/>
  <c r="G56" i="22"/>
  <c r="H55" i="22"/>
  <c r="F55" i="22"/>
  <c r="G55" i="22"/>
  <c r="J55" i="22"/>
  <c r="I55" i="22"/>
  <c r="AD9" i="20"/>
  <c r="AD63" i="20"/>
  <c r="AD88" i="20"/>
  <c r="H24" i="9" s="1"/>
  <c r="AD78" i="20"/>
  <c r="H8" i="9" s="1"/>
  <c r="J8" i="9" s="1"/>
  <c r="J6" i="9" s="1"/>
  <c r="AD30" i="20"/>
  <c r="AD22" i="20"/>
  <c r="AD18" i="20"/>
  <c r="AD26" i="20"/>
  <c r="AD12" i="20"/>
  <c r="AD89" i="20"/>
  <c r="H25" i="9" s="1"/>
  <c r="AD96" i="20"/>
  <c r="H32" i="9" s="1"/>
  <c r="AD95" i="20"/>
  <c r="H31" i="9" s="1"/>
  <c r="AD71" i="20"/>
  <c r="O19" i="4" s="1"/>
  <c r="AD31" i="20"/>
  <c r="AD49" i="20"/>
  <c r="AD93" i="20"/>
  <c r="H29" i="9" s="1"/>
  <c r="L29" i="9" s="1"/>
  <c r="AD119" i="20"/>
  <c r="O30" i="4" s="1"/>
  <c r="AD35" i="20"/>
  <c r="AD39" i="20"/>
  <c r="G13" i="17" s="1"/>
  <c r="H13" i="17" s="1"/>
  <c r="AD29" i="20"/>
  <c r="J11" i="4" s="1"/>
  <c r="AD106" i="20"/>
  <c r="A6" i="9" s="1"/>
  <c r="F22" i="4" s="1"/>
  <c r="AD15" i="20"/>
  <c r="AD59" i="20"/>
  <c r="O17" i="4" s="1"/>
  <c r="AD129" i="20"/>
  <c r="M32" i="4" s="1"/>
  <c r="J32" i="4" s="1"/>
  <c r="AD48" i="20"/>
  <c r="G14" i="17" s="1"/>
  <c r="AD57" i="20"/>
  <c r="AD72" i="20"/>
  <c r="P19" i="4" s="1"/>
  <c r="AD84" i="20"/>
  <c r="H18" i="9" s="1"/>
  <c r="AD98" i="20"/>
  <c r="H34" i="9" s="1"/>
  <c r="AD131" i="20"/>
  <c r="O32" i="4" s="1"/>
  <c r="AD101" i="20"/>
  <c r="H37" i="9" s="1"/>
  <c r="AD123" i="20"/>
  <c r="M31" i="4" s="1"/>
  <c r="J31" i="4" s="1"/>
  <c r="AD21" i="20"/>
  <c r="AD117" i="20"/>
  <c r="M30" i="4" s="1"/>
  <c r="J30" i="4" s="1"/>
  <c r="AD77" i="20"/>
  <c r="H7" i="9" s="1"/>
  <c r="AD66" i="20"/>
  <c r="P18" i="4" s="1"/>
  <c r="AD43" i="20"/>
  <c r="G12" i="17" s="1"/>
  <c r="AD94" i="20"/>
  <c r="H30" i="9" s="1"/>
  <c r="L30" i="9" s="1"/>
  <c r="AD126" i="20"/>
  <c r="P31" i="4" s="1"/>
  <c r="AD13" i="20"/>
  <c r="AD109" i="20"/>
  <c r="A12" i="9" s="1"/>
  <c r="AD91" i="20"/>
  <c r="H27" i="9" s="1"/>
  <c r="AD16" i="20"/>
  <c r="AD41" i="20"/>
  <c r="G19" i="17" s="1"/>
  <c r="H19" i="17" s="1"/>
  <c r="AD110" i="20"/>
  <c r="A13" i="9" s="1"/>
  <c r="AD111" i="20"/>
  <c r="A15" i="9" s="1"/>
  <c r="F24" i="4" s="1"/>
  <c r="AD103" i="20"/>
  <c r="H39" i="9" s="1"/>
  <c r="AD80" i="20"/>
  <c r="H12" i="9" s="1"/>
  <c r="J12" i="9" s="1"/>
  <c r="J10" i="9" s="1"/>
  <c r="AD69" i="20"/>
  <c r="AD130" i="20"/>
  <c r="N32" i="4" s="1"/>
  <c r="AD40" i="20"/>
  <c r="G15" i="17" s="1"/>
  <c r="H15" i="17" s="1"/>
  <c r="AD37" i="20"/>
  <c r="AD32" i="20"/>
  <c r="AD7" i="20"/>
  <c r="E5" i="4" s="1"/>
  <c r="AD74" i="20"/>
  <c r="AD42" i="20"/>
  <c r="AD97" i="20"/>
  <c r="H33" i="9" s="1"/>
  <c r="AD38" i="20"/>
  <c r="AD17" i="20"/>
  <c r="AD81" i="20"/>
  <c r="H13" i="9" s="1"/>
  <c r="AD92" i="20"/>
  <c r="H28" i="9" s="1"/>
  <c r="AD8" i="20"/>
  <c r="AD46" i="20"/>
  <c r="G20" i="17" s="1"/>
  <c r="H20" i="17" s="1"/>
  <c r="AD100" i="20"/>
  <c r="H36" i="9" s="1"/>
  <c r="AD65" i="20"/>
  <c r="O18" i="4" s="1"/>
  <c r="AD124" i="20"/>
  <c r="N31" i="4" s="1"/>
  <c r="AD36" i="20"/>
  <c r="AD83" i="20"/>
  <c r="H17" i="9" s="1"/>
  <c r="L17" i="9" s="1"/>
  <c r="AD87" i="20"/>
  <c r="H23" i="9" s="1"/>
  <c r="AD79" i="20"/>
  <c r="H11" i="9" s="1"/>
  <c r="AD102" i="20"/>
  <c r="H38" i="9" s="1"/>
  <c r="AD52" i="20"/>
  <c r="AD45" i="20"/>
  <c r="G17" i="17" s="1"/>
  <c r="H17" i="17" s="1"/>
  <c r="AD118" i="20"/>
  <c r="N30" i="4" s="1"/>
  <c r="AD70" i="20"/>
  <c r="N19" i="4" s="1"/>
  <c r="AD112" i="20"/>
  <c r="A21" i="9" s="1"/>
  <c r="F25" i="4" s="1"/>
  <c r="AD60" i="20"/>
  <c r="P17" i="4" s="1"/>
  <c r="AD64" i="20"/>
  <c r="N18" i="4" s="1"/>
  <c r="AD44" i="20"/>
  <c r="G18" i="17" s="1"/>
  <c r="H18" i="17" s="1"/>
  <c r="AD99" i="20"/>
  <c r="H35" i="9" s="1"/>
  <c r="AD82" i="20"/>
  <c r="H16" i="9" s="1"/>
  <c r="L16" i="9" s="1"/>
  <c r="AD50" i="20"/>
  <c r="AD90" i="20"/>
  <c r="H26" i="9" s="1"/>
  <c r="AD24" i="20"/>
  <c r="AD20" i="20"/>
  <c r="AD86" i="20"/>
  <c r="H22" i="9" s="1"/>
  <c r="AD108" i="20"/>
  <c r="A11" i="9" s="1"/>
  <c r="AD132" i="20"/>
  <c r="P32" i="4" s="1"/>
  <c r="AD51" i="20"/>
  <c r="AD125" i="20"/>
  <c r="O31" i="4" s="1"/>
  <c r="AD47" i="20"/>
  <c r="G16" i="17" s="1"/>
  <c r="AD34" i="20"/>
  <c r="N26" i="14" s="1"/>
  <c r="AD58" i="20"/>
  <c r="N17" i="4" s="1"/>
  <c r="AD120" i="20"/>
  <c r="P30" i="4" s="1"/>
  <c r="AD25" i="20"/>
  <c r="AD33" i="20"/>
  <c r="N18" i="14" s="1"/>
  <c r="AD85" i="20"/>
  <c r="H19" i="9" s="1"/>
  <c r="I43" i="3" l="1"/>
  <c r="X67" i="11" s="1"/>
  <c r="H52" i="22"/>
  <c r="H53" i="22" s="1"/>
  <c r="H54" i="22" s="1"/>
  <c r="N42" i="22" s="1"/>
  <c r="I52" i="22"/>
  <c r="I42" i="22" s="1"/>
  <c r="J52" i="22"/>
  <c r="J42" i="22" s="1"/>
  <c r="F52" i="22"/>
  <c r="F53" i="22" s="1"/>
  <c r="G52" i="22"/>
  <c r="D35" i="22"/>
  <c r="L35" i="22" s="1"/>
  <c r="E9" i="4"/>
  <c r="D16" i="22"/>
  <c r="E6" i="4"/>
  <c r="F17" i="3"/>
  <c r="I17" i="3" s="1"/>
  <c r="J17" i="3" s="1"/>
  <c r="D21" i="22"/>
  <c r="D30" i="22"/>
  <c r="N30" i="22" s="1"/>
  <c r="F26" i="3"/>
  <c r="I26" i="3" s="1"/>
  <c r="J26" i="3" s="1"/>
  <c r="D39" i="22"/>
  <c r="L39" i="22" s="1"/>
  <c r="M19" i="4"/>
  <c r="E19" i="4" s="1"/>
  <c r="D32" i="22"/>
  <c r="F28" i="3"/>
  <c r="I28" i="3" s="1"/>
  <c r="D37" i="22"/>
  <c r="L37" i="22" s="1"/>
  <c r="M17" i="4"/>
  <c r="E17" i="4" s="1"/>
  <c r="D22" i="22"/>
  <c r="L22" i="22" s="1"/>
  <c r="F18" i="3"/>
  <c r="I18" i="3" s="1"/>
  <c r="AD14" i="20"/>
  <c r="F19" i="3"/>
  <c r="I19" i="3" s="1"/>
  <c r="F21" i="3"/>
  <c r="I21" i="3" s="1"/>
  <c r="J21" i="3" s="1"/>
  <c r="L36" i="9"/>
  <c r="J36" i="9"/>
  <c r="L38" i="9"/>
  <c r="J38" i="9"/>
  <c r="D25" i="22"/>
  <c r="O35" i="22"/>
  <c r="L39" i="9"/>
  <c r="J39" i="9"/>
  <c r="L37" i="9"/>
  <c r="J37" i="9"/>
  <c r="F24" i="3"/>
  <c r="I24" i="3" s="1"/>
  <c r="D28" i="22"/>
  <c r="L35" i="9"/>
  <c r="J35" i="9"/>
  <c r="L22" i="9"/>
  <c r="J22" i="9"/>
  <c r="AD19" i="20"/>
  <c r="L23" i="9"/>
  <c r="J23" i="9"/>
  <c r="L28" i="9"/>
  <c r="J28" i="9"/>
  <c r="O27" i="17"/>
  <c r="N27" i="17"/>
  <c r="H12" i="17"/>
  <c r="P27" i="17"/>
  <c r="Q27" i="17"/>
  <c r="J34" i="9"/>
  <c r="L34" i="9"/>
  <c r="L18" i="9"/>
  <c r="J18" i="9"/>
  <c r="F15" i="3"/>
  <c r="I15" i="3" s="1"/>
  <c r="D19" i="22"/>
  <c r="L31" i="9"/>
  <c r="J31" i="9"/>
  <c r="E22" i="4"/>
  <c r="A10" i="9"/>
  <c r="F23" i="4" s="1"/>
  <c r="E23" i="4"/>
  <c r="F22" i="3"/>
  <c r="I22" i="3" s="1"/>
  <c r="D26" i="22"/>
  <c r="H16" i="17"/>
  <c r="J26" i="9"/>
  <c r="L26" i="9"/>
  <c r="D23" i="22"/>
  <c r="L32" i="9"/>
  <c r="J32" i="9"/>
  <c r="L24" i="9"/>
  <c r="J24" i="9"/>
  <c r="P32" i="22"/>
  <c r="N32" i="22"/>
  <c r="M32" i="22"/>
  <c r="L32" i="22"/>
  <c r="O32" i="22"/>
  <c r="D6" i="22"/>
  <c r="U38" i="11"/>
  <c r="D12" i="22"/>
  <c r="D10" i="8"/>
  <c r="D8" i="22"/>
  <c r="D9" i="22"/>
  <c r="D13" i="22"/>
  <c r="F11" i="3"/>
  <c r="D15" i="8"/>
  <c r="S34" i="11" s="1"/>
  <c r="T34" i="11" s="1"/>
  <c r="U34" i="11" s="1"/>
  <c r="V34" i="11" s="1"/>
  <c r="W34" i="11" s="1"/>
  <c r="X34" i="11" s="1"/>
  <c r="Y34" i="11" s="1"/>
  <c r="Z34" i="11" s="1"/>
  <c r="AA34" i="11" s="1"/>
  <c r="AB34" i="11" s="1"/>
  <c r="D11" i="22"/>
  <c r="D14" i="8"/>
  <c r="D4" i="22"/>
  <c r="W38" i="11"/>
  <c r="D16" i="8"/>
  <c r="D11" i="8"/>
  <c r="D14" i="22"/>
  <c r="V38" i="11"/>
  <c r="D10" i="22"/>
  <c r="D5" i="22"/>
  <c r="D7" i="22"/>
  <c r="D19" i="8"/>
  <c r="H19" i="8" s="1"/>
  <c r="D18" i="8"/>
  <c r="D12" i="8"/>
  <c r="D9" i="8"/>
  <c r="D17" i="8"/>
  <c r="D13" i="8"/>
  <c r="AD23" i="20"/>
  <c r="F25" i="3"/>
  <c r="I25" i="3" s="1"/>
  <c r="D29" i="22"/>
  <c r="L27" i="9"/>
  <c r="J27" i="9"/>
  <c r="AC70" i="11"/>
  <c r="I52" i="3"/>
  <c r="N45" i="22"/>
  <c r="W70" i="11"/>
  <c r="Z70" i="11"/>
  <c r="AF70" i="11"/>
  <c r="O45" i="22"/>
  <c r="M45" i="22"/>
  <c r="P45" i="22"/>
  <c r="L45" i="22"/>
  <c r="L25" i="9"/>
  <c r="J25" i="9"/>
  <c r="M18" i="4"/>
  <c r="E18" i="4" s="1"/>
  <c r="D38" i="22"/>
  <c r="D20" i="22"/>
  <c r="F16" i="3"/>
  <c r="I16" i="3" s="1"/>
  <c r="O18" i="14"/>
  <c r="AG70" i="11"/>
  <c r="V70" i="11"/>
  <c r="Y70" i="11"/>
  <c r="AB70" i="11"/>
  <c r="AE70" i="11"/>
  <c r="AD70" i="11"/>
  <c r="AA70" i="11"/>
  <c r="X70" i="11"/>
  <c r="L19" i="9"/>
  <c r="J19" i="9"/>
  <c r="L33" i="9"/>
  <c r="J33" i="9"/>
  <c r="H14" i="17"/>
  <c r="D27" i="22"/>
  <c r="F23" i="3"/>
  <c r="I23" i="3" s="1"/>
  <c r="AD11" i="20"/>
  <c r="I53" i="22" l="1"/>
  <c r="I54" i="22" s="1"/>
  <c r="O42" i="22" s="1"/>
  <c r="H42" i="22"/>
  <c r="T67" i="11"/>
  <c r="AF67" i="11"/>
  <c r="U67" i="11"/>
  <c r="C19" i="19"/>
  <c r="Z67" i="11"/>
  <c r="V67" i="11"/>
  <c r="F33" i="8"/>
  <c r="H33" i="8" s="1"/>
  <c r="S67" i="11"/>
  <c r="AG67" i="11"/>
  <c r="R67" i="11"/>
  <c r="AC67" i="11"/>
  <c r="AE67" i="11"/>
  <c r="AD67" i="11"/>
  <c r="AA67" i="11"/>
  <c r="J53" i="22"/>
  <c r="J54" i="22" s="1"/>
  <c r="P42" i="22" s="1"/>
  <c r="J43" i="3"/>
  <c r="AB67" i="11"/>
  <c r="Y67" i="11"/>
  <c r="W67" i="11"/>
  <c r="F42" i="22"/>
  <c r="F54" i="22"/>
  <c r="L42" i="22" s="1"/>
  <c r="G42" i="22"/>
  <c r="G53" i="22"/>
  <c r="M30" i="22"/>
  <c r="P30" i="22"/>
  <c r="O22" i="22"/>
  <c r="P22" i="22"/>
  <c r="L30" i="22"/>
  <c r="N22" i="22"/>
  <c r="O30" i="22"/>
  <c r="M22" i="22"/>
  <c r="P37" i="22"/>
  <c r="N37" i="22"/>
  <c r="M37" i="22"/>
  <c r="P35" i="22"/>
  <c r="M39" i="22"/>
  <c r="N35" i="22"/>
  <c r="J19" i="3"/>
  <c r="M35" i="22"/>
  <c r="N39" i="22"/>
  <c r="P39" i="22"/>
  <c r="O39" i="22"/>
  <c r="O37" i="22"/>
  <c r="C9" i="19"/>
  <c r="E14" i="8"/>
  <c r="U48" i="11" s="1"/>
  <c r="V48" i="11" s="1"/>
  <c r="J18" i="3"/>
  <c r="N21" i="22"/>
  <c r="O21" i="22"/>
  <c r="M21" i="22"/>
  <c r="P21" i="22"/>
  <c r="L21" i="22"/>
  <c r="C12" i="19"/>
  <c r="E18" i="8"/>
  <c r="V52" i="11" s="1"/>
  <c r="J28" i="3"/>
  <c r="D12" i="3"/>
  <c r="F12" i="3" s="1"/>
  <c r="C12" i="10"/>
  <c r="F36" i="3"/>
  <c r="I36" i="3" s="1"/>
  <c r="J36" i="3" s="1"/>
  <c r="Z60" i="11"/>
  <c r="AA60" i="11"/>
  <c r="AG60" i="11"/>
  <c r="S60" i="11"/>
  <c r="X60" i="11"/>
  <c r="AF60" i="11"/>
  <c r="U60" i="11"/>
  <c r="T60" i="11"/>
  <c r="AD60" i="11"/>
  <c r="AC60" i="11"/>
  <c r="AE60" i="11"/>
  <c r="Y60" i="11"/>
  <c r="V60" i="11"/>
  <c r="W60" i="11"/>
  <c r="AB60" i="11"/>
  <c r="V62" i="11"/>
  <c r="R62" i="11"/>
  <c r="R66" i="11" s="1"/>
  <c r="S62" i="11"/>
  <c r="W62" i="11"/>
  <c r="AF62" i="11"/>
  <c r="F38" i="3"/>
  <c r="I38" i="3" s="1"/>
  <c r="J38" i="3" s="1"/>
  <c r="AD62" i="11"/>
  <c r="Y62" i="11"/>
  <c r="AB62" i="11"/>
  <c r="AE62" i="11"/>
  <c r="AC62" i="11"/>
  <c r="X62" i="11"/>
  <c r="AG62" i="11"/>
  <c r="Z62" i="11"/>
  <c r="AA62" i="11"/>
  <c r="T62" i="11"/>
  <c r="U62" i="11"/>
  <c r="F33" i="3"/>
  <c r="I33" i="3" s="1"/>
  <c r="Z56" i="11"/>
  <c r="AD56" i="11"/>
  <c r="AB56" i="11"/>
  <c r="Y56" i="11"/>
  <c r="AG56" i="11"/>
  <c r="R56" i="11"/>
  <c r="W56" i="11"/>
  <c r="AE56" i="11"/>
  <c r="S56" i="11"/>
  <c r="V56" i="11"/>
  <c r="AC56" i="11"/>
  <c r="T56" i="11"/>
  <c r="AA56" i="11"/>
  <c r="X56" i="11"/>
  <c r="AF56" i="11"/>
  <c r="U56" i="11"/>
  <c r="O23" i="22"/>
  <c r="N23" i="22"/>
  <c r="M23" i="22"/>
  <c r="P23" i="22"/>
  <c r="L23" i="22"/>
  <c r="J16" i="3"/>
  <c r="D10" i="12"/>
  <c r="E13" i="8"/>
  <c r="V47" i="11" s="1"/>
  <c r="C8" i="19"/>
  <c r="F36" i="8"/>
  <c r="H36" i="8" s="1"/>
  <c r="AI70" i="11"/>
  <c r="J52" i="3"/>
  <c r="C22" i="19"/>
  <c r="U36" i="11"/>
  <c r="O6" i="22"/>
  <c r="L6" i="22"/>
  <c r="N6" i="22"/>
  <c r="P6" i="22"/>
  <c r="M6" i="22"/>
  <c r="N28" i="22"/>
  <c r="L28" i="22"/>
  <c r="M28" i="22"/>
  <c r="O28" i="22"/>
  <c r="P28" i="22"/>
  <c r="N20" i="22"/>
  <c r="P20" i="22"/>
  <c r="L20" i="22"/>
  <c r="M20" i="22"/>
  <c r="O20" i="22"/>
  <c r="S28" i="11"/>
  <c r="H9" i="8"/>
  <c r="D20" i="8"/>
  <c r="H20" i="8" s="1"/>
  <c r="L14" i="22"/>
  <c r="O14" i="22"/>
  <c r="N14" i="22"/>
  <c r="P14" i="22"/>
  <c r="M14" i="22"/>
  <c r="I11" i="3"/>
  <c r="I48" i="3"/>
  <c r="I45" i="3"/>
  <c r="J24" i="3"/>
  <c r="E17" i="8"/>
  <c r="U51" i="11" s="1"/>
  <c r="C11" i="19"/>
  <c r="N13" i="22"/>
  <c r="M13" i="22"/>
  <c r="L13" i="22"/>
  <c r="P13" i="22"/>
  <c r="O13" i="22"/>
  <c r="V37" i="11"/>
  <c r="W37" i="11" s="1"/>
  <c r="X37" i="11" s="1"/>
  <c r="Y37" i="11" s="1"/>
  <c r="L9" i="22"/>
  <c r="M9" i="22"/>
  <c r="O9" i="22"/>
  <c r="N9" i="22"/>
  <c r="P9" i="22"/>
  <c r="J23" i="3"/>
  <c r="P29" i="22"/>
  <c r="O29" i="22"/>
  <c r="M29" i="22"/>
  <c r="N29" i="22"/>
  <c r="L29" i="22"/>
  <c r="P8" i="22"/>
  <c r="L8" i="22"/>
  <c r="N8" i="22"/>
  <c r="O8" i="22"/>
  <c r="M8" i="22"/>
  <c r="I49" i="3"/>
  <c r="P19" i="22"/>
  <c r="M19" i="22"/>
  <c r="L19" i="22"/>
  <c r="N19" i="22"/>
  <c r="O19" i="22"/>
  <c r="F20" i="3"/>
  <c r="I20" i="3" s="1"/>
  <c r="I14" i="3" s="1"/>
  <c r="D8" i="12" s="1"/>
  <c r="H22" i="17"/>
  <c r="D24" i="22"/>
  <c r="J21" i="9"/>
  <c r="E25" i="4" s="1"/>
  <c r="I51" i="3" s="1"/>
  <c r="H11" i="8"/>
  <c r="U30" i="11"/>
  <c r="J22" i="3"/>
  <c r="N27" i="22"/>
  <c r="L27" i="22"/>
  <c r="P27" i="22"/>
  <c r="O27" i="22"/>
  <c r="M27" i="22"/>
  <c r="J25" i="3"/>
  <c r="L7" i="22"/>
  <c r="P7" i="22"/>
  <c r="M7" i="22"/>
  <c r="N7" i="22"/>
  <c r="O7" i="22"/>
  <c r="O4" i="22"/>
  <c r="L4" i="22"/>
  <c r="N4" i="22"/>
  <c r="M4" i="22"/>
  <c r="P4" i="22"/>
  <c r="H10" i="8"/>
  <c r="W29" i="11"/>
  <c r="C7" i="19"/>
  <c r="D9" i="12"/>
  <c r="E12" i="8"/>
  <c r="H12" i="8" s="1"/>
  <c r="J15" i="3"/>
  <c r="V31" i="11"/>
  <c r="W35" i="11"/>
  <c r="X35" i="11" s="1"/>
  <c r="H16" i="8"/>
  <c r="N25" i="22"/>
  <c r="L25" i="22"/>
  <c r="O25" i="22"/>
  <c r="P25" i="22"/>
  <c r="M25" i="22"/>
  <c r="L5" i="22"/>
  <c r="P5" i="22"/>
  <c r="O5" i="22"/>
  <c r="M5" i="22"/>
  <c r="N5" i="22"/>
  <c r="U33" i="11"/>
  <c r="V33" i="11" s="1"/>
  <c r="M12" i="22"/>
  <c r="O12" i="22"/>
  <c r="L12" i="22"/>
  <c r="P12" i="22"/>
  <c r="N12" i="22"/>
  <c r="J15" i="9"/>
  <c r="N38" i="22"/>
  <c r="P38" i="22"/>
  <c r="O38" i="22"/>
  <c r="O40" i="22" s="1"/>
  <c r="M38" i="22"/>
  <c r="L38" i="22"/>
  <c r="L40" i="22" s="1"/>
  <c r="O26" i="22"/>
  <c r="M26" i="22"/>
  <c r="L26" i="22"/>
  <c r="P26" i="22"/>
  <c r="N26" i="22"/>
  <c r="X61" i="11"/>
  <c r="F37" i="3"/>
  <c r="I37" i="3" s="1"/>
  <c r="W61" i="11"/>
  <c r="V61" i="11"/>
  <c r="V32" i="11"/>
  <c r="L10" i="22"/>
  <c r="N10" i="22"/>
  <c r="P10" i="22"/>
  <c r="O10" i="22"/>
  <c r="M10" i="22"/>
  <c r="L11" i="22"/>
  <c r="N11" i="22"/>
  <c r="P11" i="22"/>
  <c r="O11" i="22"/>
  <c r="M11" i="22"/>
  <c r="H18" i="8" l="1"/>
  <c r="R71" i="11"/>
  <c r="R73" i="11" s="1"/>
  <c r="R75" i="11" s="1"/>
  <c r="AI67" i="11"/>
  <c r="G54" i="22"/>
  <c r="M42" i="22" s="1"/>
  <c r="M40" i="22"/>
  <c r="P40" i="22"/>
  <c r="N40" i="22"/>
  <c r="V66" i="11"/>
  <c r="X66" i="11"/>
  <c r="H14" i="8"/>
  <c r="AD66" i="11"/>
  <c r="AF66" i="11"/>
  <c r="AB66" i="11"/>
  <c r="U66" i="11"/>
  <c r="S66" i="11"/>
  <c r="S71" i="11" s="1"/>
  <c r="C14" i="19"/>
  <c r="D26" i="8"/>
  <c r="H26" i="8" s="1"/>
  <c r="J33" i="3"/>
  <c r="J32" i="3" s="1"/>
  <c r="I32" i="3"/>
  <c r="D12" i="12" s="1"/>
  <c r="G12" i="12" s="1"/>
  <c r="J12" i="12" s="1"/>
  <c r="Z66" i="11"/>
  <c r="T66" i="11"/>
  <c r="T71" i="11" s="1"/>
  <c r="Y66" i="11"/>
  <c r="W52" i="11"/>
  <c r="X52" i="11"/>
  <c r="Y52" i="11"/>
  <c r="AE66" i="11"/>
  <c r="AG66" i="11"/>
  <c r="AG71" i="11" s="1"/>
  <c r="AG73" i="11" s="1"/>
  <c r="AG75" i="11" s="1"/>
  <c r="W66" i="11"/>
  <c r="AC66" i="11"/>
  <c r="AA66" i="11"/>
  <c r="H13" i="8"/>
  <c r="D22" i="8"/>
  <c r="D23" i="8" s="1"/>
  <c r="H17" i="8"/>
  <c r="L44" i="22"/>
  <c r="M44" i="22"/>
  <c r="N44" i="22"/>
  <c r="P44" i="22"/>
  <c r="W31" i="11"/>
  <c r="X31" i="11"/>
  <c r="G9" i="12"/>
  <c r="O15" i="22"/>
  <c r="O16" i="22" s="1"/>
  <c r="O17" i="22" s="1"/>
  <c r="J45" i="3"/>
  <c r="G10" i="12"/>
  <c r="N24" i="22"/>
  <c r="N33" i="22" s="1"/>
  <c r="O24" i="22"/>
  <c r="O33" i="22" s="1"/>
  <c r="L24" i="22"/>
  <c r="L33" i="22" s="1"/>
  <c r="M24" i="22"/>
  <c r="M33" i="22" s="1"/>
  <c r="P24" i="22"/>
  <c r="P33" i="22" s="1"/>
  <c r="J37" i="3"/>
  <c r="C15" i="19"/>
  <c r="I35" i="3"/>
  <c r="J51" i="3"/>
  <c r="J48" i="3"/>
  <c r="J49" i="3"/>
  <c r="P15" i="22"/>
  <c r="P16" i="22" s="1"/>
  <c r="P17" i="22" s="1"/>
  <c r="J20" i="3"/>
  <c r="J14" i="3" s="1"/>
  <c r="E15" i="8"/>
  <c r="C10" i="19"/>
  <c r="I12" i="3"/>
  <c r="C4" i="19"/>
  <c r="J11" i="3"/>
  <c r="E24" i="4"/>
  <c r="J40" i="9"/>
  <c r="L43" i="22"/>
  <c r="O43" i="22"/>
  <c r="M43" i="22"/>
  <c r="O44" i="22"/>
  <c r="N43" i="22"/>
  <c r="P43" i="22"/>
  <c r="D11" i="12"/>
  <c r="M15" i="22"/>
  <c r="M16" i="22" s="1"/>
  <c r="M17" i="22" s="1"/>
  <c r="T28" i="11"/>
  <c r="T39" i="11" s="1"/>
  <c r="S39" i="11"/>
  <c r="Y29" i="11"/>
  <c r="W32" i="11"/>
  <c r="Y32" i="11" s="1"/>
  <c r="AB32" i="11" s="1"/>
  <c r="AB39" i="11" s="1"/>
  <c r="N15" i="22"/>
  <c r="N16" i="22" s="1"/>
  <c r="N17" i="22" s="1"/>
  <c r="Y51" i="11"/>
  <c r="X51" i="11"/>
  <c r="Z51" i="11"/>
  <c r="AA51" i="11"/>
  <c r="V51" i="11"/>
  <c r="Y36" i="11"/>
  <c r="X36" i="11"/>
  <c r="Z36" i="11"/>
  <c r="AA36" i="11"/>
  <c r="V36" i="11"/>
  <c r="W47" i="11"/>
  <c r="AB47" i="11" s="1"/>
  <c r="V46" i="11"/>
  <c r="L15" i="22"/>
  <c r="L16" i="22" s="1"/>
  <c r="L17" i="22" s="1"/>
  <c r="W30" i="11"/>
  <c r="V30" i="11"/>
  <c r="AA30" i="11"/>
  <c r="U39" i="11"/>
  <c r="AI66" i="11" l="1"/>
  <c r="D29" i="8"/>
  <c r="D42" i="8" s="1"/>
  <c r="D43" i="8" s="1"/>
  <c r="W39" i="11"/>
  <c r="M46" i="22"/>
  <c r="M48" i="22" s="1"/>
  <c r="M49" i="22" s="1"/>
  <c r="L46" i="22"/>
  <c r="L48" i="22" s="1"/>
  <c r="L49" i="22" s="1"/>
  <c r="P46" i="22"/>
  <c r="P48" i="22" s="1"/>
  <c r="P49" i="22" s="1"/>
  <c r="Y47" i="11"/>
  <c r="X39" i="11"/>
  <c r="V39" i="11"/>
  <c r="N46" i="22"/>
  <c r="N48" i="22" s="1"/>
  <c r="N49" i="22" s="1"/>
  <c r="O46" i="22"/>
  <c r="O48" i="22" s="1"/>
  <c r="O49" i="22" s="1"/>
  <c r="D13" i="12"/>
  <c r="F27" i="8"/>
  <c r="H15" i="8"/>
  <c r="H22" i="8" s="1"/>
  <c r="H23" i="8" s="1"/>
  <c r="S49" i="11"/>
  <c r="E22" i="8"/>
  <c r="Z29" i="11"/>
  <c r="Z39" i="11" s="1"/>
  <c r="Y39" i="11"/>
  <c r="G11" i="12"/>
  <c r="I50" i="3"/>
  <c r="I46" i="3"/>
  <c r="J10" i="12"/>
  <c r="J9" i="12"/>
  <c r="W46" i="11"/>
  <c r="X46" i="11"/>
  <c r="J35" i="3"/>
  <c r="AA39" i="11"/>
  <c r="I10" i="3"/>
  <c r="C5" i="19"/>
  <c r="J12" i="3"/>
  <c r="D30" i="8" l="1"/>
  <c r="AI39" i="11"/>
  <c r="E29" i="8"/>
  <c r="E23" i="8"/>
  <c r="J50" i="3"/>
  <c r="I47" i="3"/>
  <c r="V49" i="11"/>
  <c r="V54" i="11" s="1"/>
  <c r="U49" i="11"/>
  <c r="U54" i="11" s="1"/>
  <c r="S54" i="11"/>
  <c r="X49" i="11"/>
  <c r="X54" i="11" s="1"/>
  <c r="T49" i="11"/>
  <c r="T54" i="11" s="1"/>
  <c r="T73" i="11" s="1"/>
  <c r="T75" i="11" s="1"/>
  <c r="W49" i="11"/>
  <c r="W54" i="11" s="1"/>
  <c r="Y49" i="11"/>
  <c r="Y54" i="11" s="1"/>
  <c r="AA49" i="11"/>
  <c r="AA54" i="11" s="1"/>
  <c r="Z49" i="11"/>
  <c r="Z54" i="11" s="1"/>
  <c r="AB49" i="11"/>
  <c r="AB54" i="11" s="1"/>
  <c r="D7" i="12"/>
  <c r="I30" i="3"/>
  <c r="I40" i="3" s="1"/>
  <c r="H27" i="8"/>
  <c r="H29" i="8" s="1"/>
  <c r="F29" i="8"/>
  <c r="J10" i="3"/>
  <c r="J30" i="3" s="1"/>
  <c r="J40" i="3" s="1"/>
  <c r="G8" i="12"/>
  <c r="J11" i="12"/>
  <c r="G13" i="12"/>
  <c r="I44" i="3"/>
  <c r="J46" i="3"/>
  <c r="J47" i="3" l="1"/>
  <c r="G7" i="12"/>
  <c r="AI54" i="11"/>
  <c r="S73" i="11"/>
  <c r="S75" i="11" s="1"/>
  <c r="E30" i="8"/>
  <c r="E42" i="8"/>
  <c r="E43" i="8" s="1"/>
  <c r="D14" i="12"/>
  <c r="F30" i="8"/>
  <c r="J44" i="3"/>
  <c r="F34" i="8"/>
  <c r="C20" i="19"/>
  <c r="U68" i="11"/>
  <c r="I42" i="3"/>
  <c r="I54" i="3" s="1"/>
  <c r="J13" i="12"/>
  <c r="H30" i="8"/>
  <c r="J8" i="12"/>
  <c r="U69" i="11"/>
  <c r="F35" i="8"/>
  <c r="H35" i="8" s="1"/>
  <c r="C21" i="19"/>
  <c r="J42" i="3" l="1"/>
  <c r="J54" i="3" s="1"/>
  <c r="M12" i="3"/>
  <c r="M43" i="3"/>
  <c r="M27" i="3"/>
  <c r="M36" i="3"/>
  <c r="M28" i="3"/>
  <c r="M18" i="3"/>
  <c r="M26" i="3"/>
  <c r="M33" i="3"/>
  <c r="M32" i="3" s="1"/>
  <c r="M38" i="3"/>
  <c r="AI73" i="11"/>
  <c r="M17" i="3"/>
  <c r="M21" i="3"/>
  <c r="M19" i="3"/>
  <c r="M52" i="3"/>
  <c r="M23" i="3"/>
  <c r="M25" i="3"/>
  <c r="M22" i="3"/>
  <c r="M16" i="3"/>
  <c r="M24" i="3"/>
  <c r="M15" i="3"/>
  <c r="M51" i="3"/>
  <c r="M45" i="3"/>
  <c r="M49" i="3"/>
  <c r="M37" i="3"/>
  <c r="M11" i="3"/>
  <c r="M48" i="3"/>
  <c r="M20" i="3"/>
  <c r="M46" i="3"/>
  <c r="M50" i="3"/>
  <c r="V69" i="11"/>
  <c r="W69" i="11" s="1"/>
  <c r="X69" i="11" s="1"/>
  <c r="Y69" i="11" s="1"/>
  <c r="Z69" i="11" s="1"/>
  <c r="C24" i="19"/>
  <c r="D21" i="19" s="1"/>
  <c r="J7" i="12"/>
  <c r="V68" i="11"/>
  <c r="U71" i="11"/>
  <c r="U73" i="11" s="1"/>
  <c r="U75" i="11" s="1"/>
  <c r="H34" i="8"/>
  <c r="H38" i="8" s="1"/>
  <c r="F38" i="8"/>
  <c r="D15" i="12"/>
  <c r="AK42" i="11"/>
  <c r="M44" i="3" l="1"/>
  <c r="M10" i="3"/>
  <c r="AI69" i="11"/>
  <c r="M35" i="3"/>
  <c r="M14" i="3"/>
  <c r="G15" i="12"/>
  <c r="F39" i="8"/>
  <c r="F42" i="8"/>
  <c r="F43" i="8" s="1"/>
  <c r="H39" i="8"/>
  <c r="H42" i="8"/>
  <c r="H43" i="8" s="1"/>
  <c r="D16" i="12"/>
  <c r="W68" i="11"/>
  <c r="V71" i="11"/>
  <c r="V73" i="11" s="1"/>
  <c r="V75" i="11" s="1"/>
  <c r="D9" i="19"/>
  <c r="D12" i="19"/>
  <c r="C28" i="19"/>
  <c r="D19" i="19"/>
  <c r="D14" i="19"/>
  <c r="E24" i="19"/>
  <c r="D22" i="19"/>
  <c r="D8" i="19"/>
  <c r="D11" i="19"/>
  <c r="D7" i="19"/>
  <c r="D10" i="19"/>
  <c r="D4" i="19"/>
  <c r="D15" i="19"/>
  <c r="D5" i="19"/>
  <c r="M47" i="3"/>
  <c r="D20" i="19"/>
  <c r="M42" i="3" l="1"/>
  <c r="M30" i="3"/>
  <c r="M40" i="3" s="1"/>
  <c r="E12" i="12"/>
  <c r="E16" i="12"/>
  <c r="E9" i="12"/>
  <c r="E10" i="12"/>
  <c r="E8" i="12"/>
  <c r="E11" i="12"/>
  <c r="E13" i="12"/>
  <c r="E7" i="12"/>
  <c r="E14" i="12"/>
  <c r="E15" i="12"/>
  <c r="J15" i="12"/>
  <c r="G16" i="12"/>
  <c r="H15" i="12" s="1"/>
  <c r="X68" i="11"/>
  <c r="W71" i="11"/>
  <c r="W73" i="11" s="1"/>
  <c r="W75" i="11" s="1"/>
  <c r="M54" i="3" l="1"/>
  <c r="Y68" i="11"/>
  <c r="X71" i="11"/>
  <c r="X73" i="11" s="1"/>
  <c r="X75" i="11" s="1"/>
  <c r="H13" i="12"/>
  <c r="J16" i="12"/>
  <c r="H16" i="12"/>
  <c r="H12" i="12"/>
  <c r="H10" i="12"/>
  <c r="H9" i="12"/>
  <c r="H11" i="12"/>
  <c r="H8" i="12"/>
  <c r="H7" i="12"/>
  <c r="Z68" i="11" l="1"/>
  <c r="Y71" i="11"/>
  <c r="Y73" i="11" s="1"/>
  <c r="Y75" i="11" s="1"/>
  <c r="AA68" i="11" l="1"/>
  <c r="Z71" i="11"/>
  <c r="Z73" i="11" s="1"/>
  <c r="Z75" i="11" s="1"/>
  <c r="AA71" i="11" l="1"/>
  <c r="AA73" i="11" s="1"/>
  <c r="AA75" i="11" s="1"/>
  <c r="AB68" i="11"/>
  <c r="AC68" i="11" l="1"/>
  <c r="AB71" i="11"/>
  <c r="AB73" i="11" s="1"/>
  <c r="AB75" i="11" s="1"/>
  <c r="AD68" i="11" l="1"/>
  <c r="AC71" i="11"/>
  <c r="AC73" i="11" s="1"/>
  <c r="AC75" i="11" s="1"/>
  <c r="AE68" i="11" l="1"/>
  <c r="AD71" i="11"/>
  <c r="AD73" i="11" s="1"/>
  <c r="AD75" i="11" s="1"/>
  <c r="AE71" i="11" l="1"/>
  <c r="AE73" i="11" s="1"/>
  <c r="AE75" i="11" s="1"/>
  <c r="AF68" i="11"/>
  <c r="AF71" i="11" l="1"/>
  <c r="AF73" i="11" s="1"/>
  <c r="AF75" i="11" s="1"/>
  <c r="AI74" i="11" s="1"/>
  <c r="J34" i="4" s="1"/>
  <c r="AI68" i="11"/>
  <c r="C49" i="10" l="1"/>
  <c r="E47" i="8"/>
  <c r="H43" i="10"/>
  <c r="E33" i="10"/>
  <c r="H33" i="10" s="1"/>
  <c r="D40" i="8"/>
  <c r="E40" i="8"/>
  <c r="E11" i="10"/>
  <c r="H11" i="10" s="1"/>
  <c r="F57" i="3"/>
  <c r="E37" i="10"/>
  <c r="H37" i="10" s="1"/>
  <c r="E38" i="10"/>
  <c r="H38" i="10" s="1"/>
  <c r="F24" i="8"/>
  <c r="H46" i="10"/>
  <c r="E36" i="10"/>
  <c r="H36" i="10" s="1"/>
  <c r="D24" i="8"/>
  <c r="D31" i="8"/>
  <c r="H24" i="8"/>
  <c r="D44" i="8"/>
  <c r="H44" i="10"/>
  <c r="H45" i="10"/>
  <c r="E24" i="8"/>
  <c r="E31" i="8"/>
  <c r="H31" i="8"/>
  <c r="E44" i="8"/>
  <c r="F31" i="8"/>
  <c r="H44" i="8"/>
  <c r="F44" i="8"/>
  <c r="H40" i="8"/>
  <c r="F40" i="8"/>
  <c r="I37" i="10" l="1"/>
  <c r="J37" i="10" s="1"/>
  <c r="K16" i="3"/>
  <c r="E18" i="10"/>
  <c r="H18" i="10" s="1"/>
  <c r="K22" i="3"/>
  <c r="K15" i="3"/>
  <c r="K26" i="3"/>
  <c r="K28" i="3"/>
  <c r="E17" i="10"/>
  <c r="H17" i="10" s="1"/>
  <c r="E26" i="10"/>
  <c r="H26" i="10" s="1"/>
  <c r="K19" i="3"/>
  <c r="K38" i="3"/>
  <c r="K17" i="3"/>
  <c r="E24" i="10"/>
  <c r="H24" i="10" s="1"/>
  <c r="K21" i="3"/>
  <c r="K27" i="3"/>
  <c r="K43" i="3"/>
  <c r="E22" i="10"/>
  <c r="H22" i="10" s="1"/>
  <c r="E27" i="10"/>
  <c r="H27" i="10" s="1"/>
  <c r="E25" i="10"/>
  <c r="H25" i="10" s="1"/>
  <c r="K24" i="3"/>
  <c r="E23" i="10"/>
  <c r="H23" i="10" s="1"/>
  <c r="K36" i="3"/>
  <c r="E19" i="10"/>
  <c r="H19" i="10" s="1"/>
  <c r="E20" i="10"/>
  <c r="H20" i="10" s="1"/>
  <c r="E28" i="10"/>
  <c r="H28" i="10" s="1"/>
  <c r="K25" i="3"/>
  <c r="E15" i="10"/>
  <c r="H15" i="10" s="1"/>
  <c r="K52" i="3"/>
  <c r="K23" i="3"/>
  <c r="E21" i="10"/>
  <c r="H21" i="10" s="1"/>
  <c r="K18" i="3"/>
  <c r="K33" i="3"/>
  <c r="K32" i="3" s="1"/>
  <c r="E16" i="10"/>
  <c r="H16" i="10" s="1"/>
  <c r="K51" i="3"/>
  <c r="K48" i="3"/>
  <c r="K11" i="3"/>
  <c r="K49" i="3"/>
  <c r="K45" i="3"/>
  <c r="K37" i="3"/>
  <c r="K20" i="3"/>
  <c r="K12" i="3"/>
  <c r="K50" i="3"/>
  <c r="K46" i="3"/>
  <c r="H35" i="10"/>
  <c r="I36" i="10"/>
  <c r="H12" i="10"/>
  <c r="I11" i="10"/>
  <c r="I46" i="10"/>
  <c r="J46" i="10" s="1"/>
  <c r="H32" i="10"/>
  <c r="I33" i="10"/>
  <c r="I45" i="10"/>
  <c r="J45" i="10" s="1"/>
  <c r="I43" i="10"/>
  <c r="H42" i="10"/>
  <c r="I44" i="10"/>
  <c r="J44" i="10" s="1"/>
  <c r="I38" i="10"/>
  <c r="J38" i="10" s="1"/>
  <c r="K44" i="3" l="1"/>
  <c r="K10" i="3"/>
  <c r="H10" i="10"/>
  <c r="I12" i="10"/>
  <c r="J12" i="10" s="1"/>
  <c r="I21" i="10"/>
  <c r="J21" i="10" s="1"/>
  <c r="K35" i="3"/>
  <c r="J33" i="10"/>
  <c r="J32" i="10" s="1"/>
  <c r="I32" i="10"/>
  <c r="I35" i="10"/>
  <c r="J36" i="10"/>
  <c r="J35" i="10" s="1"/>
  <c r="K47" i="3"/>
  <c r="I15" i="10"/>
  <c r="H14" i="10"/>
  <c r="I25" i="10"/>
  <c r="J25" i="10" s="1"/>
  <c r="I18" i="10"/>
  <c r="J18" i="10" s="1"/>
  <c r="I19" i="10"/>
  <c r="J19" i="10" s="1"/>
  <c r="I23" i="10"/>
  <c r="J23" i="10" s="1"/>
  <c r="I27" i="10"/>
  <c r="J27" i="10" s="1"/>
  <c r="K14" i="3"/>
  <c r="I42" i="10"/>
  <c r="J43" i="10"/>
  <c r="J42" i="10" s="1"/>
  <c r="I16" i="10"/>
  <c r="J16" i="10" s="1"/>
  <c r="I28" i="10"/>
  <c r="J28" i="10" s="1"/>
  <c r="I22" i="10"/>
  <c r="J22" i="10" s="1"/>
  <c r="I26" i="10"/>
  <c r="J26" i="10" s="1"/>
  <c r="I24" i="10"/>
  <c r="J24" i="10" s="1"/>
  <c r="J11" i="10"/>
  <c r="I20" i="10"/>
  <c r="J20" i="10" s="1"/>
  <c r="I17" i="10"/>
  <c r="J17" i="10" s="1"/>
  <c r="K42" i="3" l="1"/>
  <c r="H30" i="10"/>
  <c r="H40" i="10" s="1"/>
  <c r="H48" i="10" s="1"/>
  <c r="L38" i="10" s="1"/>
  <c r="K30" i="3"/>
  <c r="K40" i="3" s="1"/>
  <c r="I10" i="10"/>
  <c r="J10" i="10"/>
  <c r="I14" i="10"/>
  <c r="J15" i="10"/>
  <c r="J14" i="10" s="1"/>
  <c r="L33" i="10" l="1"/>
  <c r="L32" i="10" s="1"/>
  <c r="K54" i="3"/>
  <c r="L28" i="10"/>
  <c r="L24" i="10"/>
  <c r="L22" i="10"/>
  <c r="L15" i="10"/>
  <c r="L43" i="10"/>
  <c r="L20" i="10"/>
  <c r="L23" i="10"/>
  <c r="L37" i="10"/>
  <c r="L21" i="10"/>
  <c r="L46" i="10"/>
  <c r="L12" i="10"/>
  <c r="L44" i="10"/>
  <c r="L18" i="10"/>
  <c r="L19" i="10"/>
  <c r="L45" i="10"/>
  <c r="L25" i="10"/>
  <c r="L16" i="10"/>
  <c r="L17" i="10"/>
  <c r="L27" i="10"/>
  <c r="L26" i="10"/>
  <c r="L36" i="10"/>
  <c r="L11" i="10"/>
  <c r="I30" i="10"/>
  <c r="I40" i="10" s="1"/>
  <c r="I48" i="10" s="1"/>
  <c r="J30" i="10"/>
  <c r="J40" i="10" s="1"/>
  <c r="J48" i="10" s="1"/>
  <c r="L10" i="10" l="1"/>
  <c r="L42" i="10"/>
  <c r="L35" i="10"/>
  <c r="L14" i="10"/>
  <c r="L30" i="10" l="1"/>
  <c r="L40" i="10" s="1"/>
  <c r="L48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 Molina</author>
  </authors>
  <commentList>
    <comment ref="AF7" authorId="0" shapeId="0" xr:uid="{D9FF6F27-A8EC-4D41-B7C3-624F07B03496}">
      <text>
        <r>
          <rPr>
            <b/>
            <sz val="9"/>
            <color indexed="81"/>
            <rFont val="Tahoma"/>
            <charset val="1"/>
          </rPr>
          <t>Marco Araya Molina:</t>
        </r>
        <r>
          <rPr>
            <sz val="9"/>
            <color indexed="81"/>
            <rFont val="Tahoma"/>
            <charset val="1"/>
          </rPr>
          <t xml:space="preserve">
Aplicación del CAGR de 8 cosechas.</t>
        </r>
      </text>
    </comment>
    <comment ref="AD8" authorId="0" shapeId="0" xr:uid="{6A46E9D5-EC62-4BE9-8EAB-30F75DEFB2AC}">
      <text>
        <r>
          <rPr>
            <b/>
            <sz val="12"/>
            <color indexed="81"/>
            <rFont val="Tahoma"/>
            <family val="2"/>
          </rPr>
          <t>COSECHA 2023-2024</t>
        </r>
        <r>
          <rPr>
            <b/>
            <sz val="9"/>
            <color indexed="81"/>
            <rFont val="Tahoma"/>
            <family val="2"/>
          </rPr>
          <t xml:space="preserve">
CCSS: 14.50%</t>
        </r>
        <r>
          <rPr>
            <sz val="9"/>
            <color indexed="81"/>
            <rFont val="Tahoma"/>
            <family val="2"/>
          </rPr>
          <t xml:space="preserve">
- Seguro de Enfermedad y Maternidad: 9.25%
- Seguro de Invalidez, Vejez y Muerte: 5.42%
</t>
        </r>
        <r>
          <rPr>
            <b/>
            <sz val="9"/>
            <color indexed="81"/>
            <rFont val="Tahoma"/>
            <family val="2"/>
          </rPr>
          <t>Instituciones Autónomas: 7.25%</t>
        </r>
        <r>
          <rPr>
            <sz val="9"/>
            <color indexed="81"/>
            <rFont val="Tahoma"/>
            <family val="2"/>
          </rPr>
          <t xml:space="preserve">
- Banco Popular y Desarrollo Comunal: 0.25%
- Fondo de Desarrollo de Asignaciones Familiares: 5.00%
- Instituto Mixto de Ayuda Social: 0.50%
- Instituto Nacional de Aprendizaje: 1.50%
</t>
        </r>
        <r>
          <rPr>
            <b/>
            <sz val="9"/>
            <color indexed="81"/>
            <rFont val="Tahoma"/>
            <family val="2"/>
          </rPr>
          <t>Operadora de Pensiones: 4.75%</t>
        </r>
        <r>
          <rPr>
            <sz val="9"/>
            <color indexed="81"/>
            <rFont val="Tahoma"/>
            <family val="2"/>
          </rPr>
          <t xml:space="preserve">
- Banco Popular y Desarrollo Comunal: 0.25%
- Fondo de Capitalización Laboral: 3.00%
- Pensión Complementaria Obligatoria: 1.50%
</t>
        </r>
        <r>
          <rPr>
            <b/>
            <sz val="9"/>
            <color indexed="81"/>
            <rFont val="Tahoma"/>
            <family val="2"/>
          </rPr>
          <t>Garantías Sociales: 13.66%</t>
        </r>
        <r>
          <rPr>
            <sz val="9"/>
            <color indexed="81"/>
            <rFont val="Tahoma"/>
            <family val="2"/>
          </rPr>
          <t xml:space="preserve">
- Aguinaldo: 8.333%
- Cesantía: 5.333%
</t>
        </r>
        <r>
          <rPr>
            <b/>
            <sz val="9"/>
            <color indexed="81"/>
            <rFont val="Tahoma"/>
            <family val="2"/>
          </rPr>
          <t>Seguro de Riesgos Profesionales: 4.61%</t>
        </r>
      </text>
    </comment>
    <comment ref="AF29" authorId="0" shapeId="0" xr:uid="{422593A7-4FCB-4EC7-8A5C-BCD10B7985A6}">
      <text>
        <r>
          <rPr>
            <b/>
            <sz val="9"/>
            <color indexed="81"/>
            <rFont val="Tahoma"/>
            <charset val="1"/>
          </rPr>
          <t>Marco Araya Molina:</t>
        </r>
        <r>
          <rPr>
            <sz val="9"/>
            <color indexed="81"/>
            <rFont val="Tahoma"/>
            <charset val="1"/>
          </rPr>
          <t xml:space="preserve">
Aplicación del CAGR de 8 cosechas.</t>
        </r>
      </text>
    </comment>
    <comment ref="B34" authorId="0" shapeId="0" xr:uid="{5E7F35F0-5061-4230-96CA-CA44DFA7F550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Nitrato de Amonio</t>
        </r>
      </text>
    </comment>
    <comment ref="AB34" authorId="0" shapeId="0" xr:uid="{99FD0859-048C-4350-BEFB-2CE3D36B058E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Nitrato de Amonio</t>
        </r>
      </text>
    </comment>
    <comment ref="AD38" authorId="0" shapeId="0" xr:uid="{6D3631A4-5F18-4123-A685-F74FEE09AF82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Ponderación:</t>
        </r>
        <r>
          <rPr>
            <sz val="9"/>
            <color indexed="81"/>
            <rFont val="Tahoma"/>
            <family val="2"/>
          </rPr>
          <t xml:space="preserve">
- Atemi 10 SL: 30%
- Cyprosol 10 SL: 20%
- Opera 18.3 SE: 50%</t>
        </r>
      </text>
    </comment>
    <comment ref="AD42" authorId="0" shapeId="0" xr:uid="{6A2C3612-FAB2-4DBC-96F3-173FF01B1FF8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Ponderación:</t>
        </r>
        <r>
          <rPr>
            <sz val="9"/>
            <color indexed="81"/>
            <rFont val="Tahoma"/>
            <family val="2"/>
          </rPr>
          <t xml:space="preserve">
- Amistar 50 WG: 67%
- Mistral 25 SC: 33%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 Molina</author>
    <author>Marco Araya</author>
  </authors>
  <commentList>
    <comment ref="K8" authorId="0" shapeId="0" xr:uid="{51C8F073-5BBF-4AAE-A41C-62F01600FAA6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La Fórmula Completa usada es:
(1) Comercial.
(2) Elaborada a la Carta.</t>
        </r>
      </text>
    </comment>
    <comment ref="K9" authorId="0" shapeId="0" xr:uid="{1850F214-E2DC-4A0D-AD26-D08029F8CCCC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Si la Fórmula Completa es elaborada a la Carta, indicar si se utilizará:
(1) Una Fórmula Extra Nitrogenada.
(2) Sin Fórmula Extra Nitrogenada.
Si la Fórmula Completa es Comercial, no es posible sin Extra Nitrogenada.</t>
        </r>
      </text>
    </comment>
    <comment ref="K10" authorId="1" shapeId="0" xr:uid="{A08EAF2B-0AAC-4223-B862-3247739A7234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La combinación 12 no es factible:
- (1) Fórmula Completa Comercial
- (2) Sin Extra Nitrogenada</t>
        </r>
      </text>
    </comment>
    <comment ref="Q26" authorId="0" shapeId="0" xr:uid="{5BB6F71A-2F99-4B93-AA50-C26A78FAA1A2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Seleccione "Guía de Productores".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 Molina</author>
  </authors>
  <commentList>
    <comment ref="D9" authorId="0" shapeId="0" xr:uid="{637B1B83-54D1-49ED-B45D-8CDA7861A743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Edad (Años) || Vol.(L/ha)
     1                   200
     2                   400
     3                   500
     4                   700
     5                   700
     6                   600
     7 &amp;+          600 a 700</t>
        </r>
      </text>
    </comment>
    <comment ref="B14" authorId="0" shapeId="0" xr:uid="{625F38CB-C4F5-4973-A860-A0FCBABCA1CD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De acción surfactante:
- Imbirex CR 80 SL
- Cosmo- In d 27 SL
- Limonoil 15 SL
- Break Thru 100 SL
- Drexel Pas 80 SL</t>
        </r>
      </text>
    </comment>
    <comment ref="D14" authorId="0" shapeId="0" xr:uid="{E8E76EDE-3274-43E8-B245-B176785A9A74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La dosis es por 200 L de mezcla, según coadyuvante elegido.</t>
        </r>
      </text>
    </comment>
    <comment ref="L20" authorId="0" shapeId="0" xr:uid="{FEF1EDD5-36E1-4A4B-B3E6-4A235FD1610E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De acción surfactante:
- Imbirex CR 80 SL
- Cosmo- In d 27 SL
- Limonoil 15 SL
- Break Thru 100 SL
- Drexel Pas 80 SL</t>
        </r>
      </text>
    </comment>
    <comment ref="D29" authorId="0" shapeId="0" xr:uid="{5EC9D435-3D07-45F0-8E16-AD7BEA5697BF}">
      <text>
        <r>
          <rPr>
            <b/>
            <sz val="9"/>
            <color indexed="81"/>
            <rFont val="Tahoma"/>
            <charset val="1"/>
          </rPr>
          <t>Marco Araya Molina:</t>
        </r>
        <r>
          <rPr>
            <sz val="9"/>
            <color indexed="81"/>
            <rFont val="Tahoma"/>
            <charset val="1"/>
          </rPr>
          <t xml:space="preserve">
Mayo de 2026</t>
        </r>
      </text>
    </comment>
    <comment ref="D33" authorId="0" shapeId="0" xr:uid="{3A8BBD20-FCED-4FB9-8930-34FBD851036B}">
      <text>
        <r>
          <rPr>
            <b/>
            <sz val="9"/>
            <color indexed="81"/>
            <rFont val="Tahoma"/>
            <charset val="1"/>
          </rPr>
          <t>Marco Araya Molina:</t>
        </r>
        <r>
          <rPr>
            <sz val="9"/>
            <color indexed="81"/>
            <rFont val="Tahoma"/>
            <charset val="1"/>
          </rPr>
          <t xml:space="preserve">
Mayo de 2026</t>
        </r>
      </text>
    </comment>
    <comment ref="C45" authorId="0" shapeId="0" xr:uid="{FE8A2DA5-EDE7-4C7D-9CCD-1DB73B07D833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Dosis: ml/200 L (estañón)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</author>
    <author>Marco Araya Molina</author>
  </authors>
  <commentList>
    <comment ref="B4" authorId="0" shapeId="0" xr:uid="{CDD20263-A207-4018-93CD-CA2C602EB26F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SISTEMA:
(1) Selectiva: planta o rama.
(2) Cíclica o por Lote.</t>
        </r>
      </text>
    </comment>
    <comment ref="B5" authorId="0" shapeId="0" xr:uid="{BD91B1F3-0D60-4A27-A2A7-5E0E130F6DF5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EQUIPO:
(1) Manual: Sierra de Arco, Serrucho.
(2) Mecánico: Equipo Motopodador.</t>
        </r>
      </text>
    </comment>
    <comment ref="K5" authorId="0" shapeId="0" xr:uid="{05B659CA-ECDE-46FC-BE68-0F25ACFA5579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C: 3 a 4 Deshijas al año.</t>
        </r>
      </text>
    </comment>
    <comment ref="R5" authorId="0" shapeId="0" xr:uid="{403CD1AB-BDB9-406C-8320-2AE1AD266689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C: &gt;= 3 Arreglos al año.</t>
        </r>
      </text>
    </comment>
    <comment ref="Y5" authorId="0" shapeId="0" xr:uid="{7512BF7D-6771-44BE-8711-55166004B6D6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C: 3 a 4 Deshijas al año.</t>
        </r>
      </text>
    </comment>
    <comment ref="G8" authorId="0" shapeId="0" xr:uid="{EB4DDE73-7D98-486E-9ACA-E4D06C315145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Combinación de todas las anteriores.</t>
        </r>
      </text>
    </comment>
    <comment ref="M8" authorId="0" shapeId="0" xr:uid="{4D8693AC-F9B7-48DB-9980-97E70BD4A53D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C: 3 a 4 Deshijas al Año.</t>
        </r>
      </text>
    </comment>
    <comment ref="AA8" authorId="0" shapeId="0" xr:uid="{D98050A6-C795-4531-971A-2C3E8698F057}">
      <text>
        <r>
          <rPr>
            <b/>
            <sz val="9"/>
            <color indexed="81"/>
            <rFont val="Tahoma"/>
            <family val="2"/>
          </rPr>
          <t>Marco Araya:</t>
        </r>
        <r>
          <rPr>
            <sz val="9"/>
            <color indexed="81"/>
            <rFont val="Tahoma"/>
            <family val="2"/>
          </rPr>
          <t xml:space="preserve">
C: 3 a 4 Deshijas al Año.</t>
        </r>
      </text>
    </comment>
    <comment ref="AE14" authorId="1" shapeId="0" xr:uid="{CB8C4B5B-DC26-42CC-B693-279333788A41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De acción Regulador de pH:</t>
        </r>
      </text>
    </comment>
    <comment ref="AG14" authorId="1" shapeId="0" xr:uid="{89D760B6-6C68-4974-99C3-E681C9C3C174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La dosis es por 200 L de mezcla, según coadyuvante elegido.</t>
        </r>
      </text>
    </comment>
    <comment ref="AF24" authorId="1" shapeId="0" xr:uid="{7D299EF4-CD9F-4F00-B5F0-81D8DD6F8A2E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gramos</t>
        </r>
      </text>
    </comment>
    <comment ref="AF25" authorId="1" shapeId="0" xr:uid="{571250A0-49A3-4FBB-8088-268DBAC78FCE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gramos</t>
        </r>
      </text>
    </comment>
    <comment ref="AF26" authorId="1" shapeId="0" xr:uid="{65B2FB01-83AF-4BDD-8B74-F92C29ED9A75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mililitros</t>
        </r>
      </text>
    </comment>
    <comment ref="AF27" authorId="1" shapeId="0" xr:uid="{95F464BC-5F19-45C8-B7BB-65E4BD1F7A89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mililitros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 Molina</author>
  </authors>
  <commentList>
    <comment ref="AA1" authorId="0" shapeId="0" xr:uid="{2C9AB56A-0B84-4159-916A-EECDB12BCDA6}">
      <text>
        <r>
          <rPr>
            <b/>
            <sz val="9"/>
            <color indexed="81"/>
            <rFont val="Tahoma"/>
            <charset val="1"/>
          </rPr>
          <t>Marco Araya Molina:</t>
        </r>
        <r>
          <rPr>
            <sz val="9"/>
            <color indexed="81"/>
            <rFont val="Tahoma"/>
            <charset val="1"/>
          </rPr>
          <t xml:space="preserve">
Actualizar el último criterio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Araya Molina</author>
  </authors>
  <commentList>
    <comment ref="Q7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Marco Araya Molina:</t>
        </r>
        <r>
          <rPr>
            <sz val="9"/>
            <color indexed="81"/>
            <rFont val="Tahoma"/>
            <family val="2"/>
          </rPr>
          <t xml:space="preserve">
Promedio de Compra/Venta.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<sst xmlns="http://schemas.openxmlformats.org/spreadsheetml/2006/main" count="1508" uniqueCount="572">
  <si>
    <t>Porc.</t>
  </si>
  <si>
    <t>Poda</t>
  </si>
  <si>
    <t>Deshija</t>
  </si>
  <si>
    <t>Arreglo de sombra</t>
  </si>
  <si>
    <t>Reposición de plantas</t>
  </si>
  <si>
    <t>Aplicación de enmiendas</t>
  </si>
  <si>
    <t>Atomizaciones</t>
  </si>
  <si>
    <t>Control manual de malezas</t>
  </si>
  <si>
    <t>Aplicación de herbicidas</t>
  </si>
  <si>
    <t>Control de plagas</t>
  </si>
  <si>
    <t>Unidad</t>
  </si>
  <si>
    <t>und/ha</t>
  </si>
  <si>
    <t>Fórmula completa</t>
  </si>
  <si>
    <t>Fórmula nitrogenada</t>
  </si>
  <si>
    <t>Rubro de Costo</t>
  </si>
  <si>
    <t>Productividad:</t>
  </si>
  <si>
    <t>Coeficiente</t>
  </si>
  <si>
    <t>Costo Total</t>
  </si>
  <si>
    <t>Técnico</t>
  </si>
  <si>
    <t>Labores de cultivo</t>
  </si>
  <si>
    <t>Cargas sociales</t>
  </si>
  <si>
    <t>ptas/ha</t>
  </si>
  <si>
    <t>Fungicida (triazol)</t>
  </si>
  <si>
    <t>L/ha</t>
  </si>
  <si>
    <t>Herbicida (glifosato)</t>
  </si>
  <si>
    <t>Transporte (almácigo)</t>
  </si>
  <si>
    <t>Reposición plantas:</t>
  </si>
  <si>
    <t>-</t>
  </si>
  <si>
    <t>Edad plantación (años)</t>
  </si>
  <si>
    <t>Densidad (ptas/ha)</t>
  </si>
  <si>
    <t>Cargas sociales:</t>
  </si>
  <si>
    <r>
      <t>Transporte</t>
    </r>
    <r>
      <rPr>
        <b/>
        <i/>
        <sz val="10"/>
        <rFont val="Arial"/>
        <family val="2"/>
      </rPr>
      <t>:</t>
    </r>
  </si>
  <si>
    <r>
      <t>Abonos</t>
    </r>
    <r>
      <rPr>
        <b/>
        <sz val="10"/>
        <rFont val="Arial"/>
        <family val="2"/>
      </rPr>
      <t xml:space="preserve"> y </t>
    </r>
    <r>
      <rPr>
        <b/>
        <u/>
        <sz val="10"/>
        <rFont val="Arial"/>
        <family val="2"/>
      </rPr>
      <t>Bases</t>
    </r>
    <r>
      <rPr>
        <b/>
        <sz val="10"/>
        <rFont val="Arial"/>
        <family val="2"/>
      </rPr>
      <t>:</t>
    </r>
  </si>
  <si>
    <r>
      <t>Atomizaciones</t>
    </r>
    <r>
      <rPr>
        <b/>
        <i/>
        <sz val="10"/>
        <rFont val="Arial"/>
        <family val="2"/>
      </rPr>
      <t>:</t>
    </r>
  </si>
  <si>
    <t>Triazol (L/ha)</t>
  </si>
  <si>
    <r>
      <t>Herbicidas</t>
    </r>
    <r>
      <rPr>
        <b/>
        <i/>
        <sz val="10"/>
        <rFont val="Arial"/>
        <family val="2"/>
      </rPr>
      <t>:</t>
    </r>
  </si>
  <si>
    <t>Cantidad</t>
  </si>
  <si>
    <t>Bomba de espalda</t>
  </si>
  <si>
    <t>Pala ancha</t>
  </si>
  <si>
    <t>Pala carrilera</t>
  </si>
  <si>
    <t>Palín</t>
  </si>
  <si>
    <t>Tijera de deshija</t>
  </si>
  <si>
    <t>Sierra de arco de poda</t>
  </si>
  <si>
    <t>Sacho</t>
  </si>
  <si>
    <t>Macana</t>
  </si>
  <si>
    <t>Machete</t>
  </si>
  <si>
    <t>Martillo</t>
  </si>
  <si>
    <t>Capa completa</t>
  </si>
  <si>
    <t>Gafas</t>
  </si>
  <si>
    <t>Botas de hule (pares)</t>
  </si>
  <si>
    <t>Guantes (pares)</t>
  </si>
  <si>
    <t>Mascarilla</t>
  </si>
  <si>
    <r>
      <t>Vida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Útil</t>
    </r>
    <r>
      <rPr>
        <b/>
        <sz val="10"/>
        <rFont val="Arial"/>
        <family val="2"/>
      </rPr>
      <t xml:space="preserve"> de </t>
    </r>
    <r>
      <rPr>
        <b/>
        <u/>
        <sz val="10"/>
        <rFont val="Arial"/>
        <family val="2"/>
      </rPr>
      <t>Activos</t>
    </r>
    <r>
      <rPr>
        <b/>
        <sz val="10"/>
        <rFont val="Arial"/>
        <family val="2"/>
      </rPr>
      <t>:</t>
    </r>
  </si>
  <si>
    <t>Café (años)</t>
  </si>
  <si>
    <t>Equipo agrícola (años)</t>
  </si>
  <si>
    <r>
      <t>Valor</t>
    </r>
    <r>
      <rPr>
        <b/>
        <sz val="10"/>
        <rFont val="Arial"/>
        <family val="2"/>
      </rPr>
      <t xml:space="preserve"> de </t>
    </r>
    <r>
      <rPr>
        <b/>
        <u/>
        <sz val="10"/>
        <rFont val="Arial"/>
        <family val="2"/>
      </rPr>
      <t>Activos</t>
    </r>
  </si>
  <si>
    <t>Técnica</t>
  </si>
  <si>
    <t>Costo</t>
  </si>
  <si>
    <t>Unitario</t>
  </si>
  <si>
    <t>Cosecha:</t>
  </si>
  <si>
    <t>Otros costos indirectos:</t>
  </si>
  <si>
    <t>Mantenimiento</t>
  </si>
  <si>
    <t>Gastos administrativos</t>
  </si>
  <si>
    <t>Depreciación</t>
  </si>
  <si>
    <t>Costos Directos</t>
  </si>
  <si>
    <t>Costos</t>
  </si>
  <si>
    <t>Rubro / Descripción</t>
  </si>
  <si>
    <t>Labores</t>
  </si>
  <si>
    <t>Materiales</t>
  </si>
  <si>
    <t>Indirectos</t>
  </si>
  <si>
    <t>Subtotal (B)</t>
  </si>
  <si>
    <t>Mantenim.de finca</t>
  </si>
  <si>
    <t>Costo del Paquete Tecnológico:</t>
  </si>
  <si>
    <t>Acumulado</t>
  </si>
  <si>
    <t>Total</t>
  </si>
  <si>
    <t>Otros Costos Indirectos:</t>
  </si>
  <si>
    <r>
      <t xml:space="preserve">Total (US$) </t>
    </r>
    <r>
      <rPr>
        <b/>
        <vertAlign val="superscript"/>
        <sz val="10"/>
        <color indexed="9"/>
        <rFont val="Arial"/>
        <family val="2"/>
      </rPr>
      <t>b</t>
    </r>
  </si>
  <si>
    <t>Costo Total de Producción Agrícola:</t>
  </si>
  <si>
    <t>FICHA TÉCNICA CAFETALERA</t>
  </si>
  <si>
    <t>Jornal: Labor-Día (horas)</t>
  </si>
  <si>
    <t>Herbicida (paraquat)</t>
  </si>
  <si>
    <t>L-ha</t>
  </si>
  <si>
    <t>(L-kg)/ha</t>
  </si>
  <si>
    <t>Resiembra y/o Repoblación</t>
  </si>
  <si>
    <t>Fertilizaciones (abonadas)</t>
  </si>
  <si>
    <t>Glifosato (L/ha)</t>
  </si>
  <si>
    <t>Área podada:</t>
  </si>
  <si>
    <t>Activo Agrícola</t>
  </si>
  <si>
    <t>Carretas</t>
  </si>
  <si>
    <t>Motosierra</t>
  </si>
  <si>
    <t>Motoguadaña</t>
  </si>
  <si>
    <t>Alicate (diablillo)</t>
  </si>
  <si>
    <t>Inventario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</si>
  <si>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/ha</t>
    </r>
  </si>
  <si>
    <t>Salario-Base</t>
  </si>
  <si>
    <r>
      <t xml:space="preserve">Estructura de </t>
    </r>
    <r>
      <rPr>
        <b/>
        <u/>
        <sz val="18"/>
        <rFont val="Bookman Old Style"/>
        <family val="1"/>
      </rPr>
      <t>Costos</t>
    </r>
    <r>
      <rPr>
        <b/>
        <sz val="18"/>
        <rFont val="Bookman Old Style"/>
        <family val="1"/>
      </rPr>
      <t xml:space="preserve"> de </t>
    </r>
    <r>
      <rPr>
        <b/>
        <u val="double"/>
        <sz val="18"/>
        <rFont val="Bookman Old Style"/>
        <family val="1"/>
      </rPr>
      <t>Producción</t>
    </r>
  </si>
  <si>
    <t>Casa para recolectores</t>
  </si>
  <si>
    <t>Bodega de insumos</t>
  </si>
  <si>
    <t>M&amp;R</t>
  </si>
  <si>
    <r>
      <t>Renovación</t>
    </r>
    <r>
      <rPr>
        <b/>
        <i/>
        <sz val="10"/>
        <rFont val="Arial"/>
        <family val="2"/>
      </rPr>
      <t>:</t>
    </r>
  </si>
  <si>
    <t>Café de 1 año.</t>
  </si>
  <si>
    <t>Café de 2 años.</t>
  </si>
  <si>
    <t>Transporte:</t>
  </si>
  <si>
    <t>Insumos:</t>
  </si>
  <si>
    <t>Mano-Obra:</t>
  </si>
  <si>
    <t>Mano de Obra Remunerada</t>
  </si>
  <si>
    <t>Almácigo (resiem/repobl)</t>
  </si>
  <si>
    <t>Labor de Cultivo</t>
  </si>
  <si>
    <t>Mantenimiento de finca</t>
  </si>
  <si>
    <r>
      <t>Inventario</t>
    </r>
    <r>
      <rPr>
        <b/>
        <sz val="18"/>
        <rFont val="Bookman Old Style"/>
        <family val="1"/>
      </rPr>
      <t xml:space="preserve"> </t>
    </r>
    <r>
      <rPr>
        <b/>
        <u/>
        <sz val="18"/>
        <rFont val="Bookman Old Style"/>
        <family val="1"/>
      </rPr>
      <t>Básico</t>
    </r>
    <r>
      <rPr>
        <b/>
        <sz val="18"/>
        <rFont val="Bookman Old Style"/>
        <family val="1"/>
      </rPr>
      <t xml:space="preserve"> de Activos </t>
    </r>
    <r>
      <rPr>
        <b/>
        <vertAlign val="superscript"/>
        <sz val="18"/>
        <rFont val="Bookman Old Style"/>
        <family val="1"/>
      </rPr>
      <t>a</t>
    </r>
  </si>
  <si>
    <r>
      <t>2.- Medios de Transporte</t>
    </r>
    <r>
      <rPr>
        <b/>
        <i/>
        <vertAlign val="superscript"/>
        <sz val="11"/>
        <rFont val="Arial"/>
        <family val="2"/>
      </rPr>
      <t>c</t>
    </r>
    <r>
      <rPr>
        <b/>
        <i/>
        <sz val="11"/>
        <rFont val="Arial"/>
        <family val="2"/>
      </rPr>
      <t>:</t>
    </r>
  </si>
  <si>
    <r>
      <t>3.- Equipo Agrícola</t>
    </r>
    <r>
      <rPr>
        <b/>
        <i/>
        <vertAlign val="superscript"/>
        <sz val="11"/>
        <rFont val="Arial"/>
        <family val="2"/>
      </rPr>
      <t>d</t>
    </r>
    <r>
      <rPr>
        <b/>
        <i/>
        <sz val="11"/>
        <rFont val="Arial"/>
        <family val="2"/>
      </rPr>
      <t>:</t>
    </r>
  </si>
  <si>
    <r>
      <t>4.- Herramientas</t>
    </r>
    <r>
      <rPr>
        <b/>
        <i/>
        <vertAlign val="superscript"/>
        <sz val="11"/>
        <rFont val="Arial"/>
        <family val="2"/>
      </rPr>
      <t>d</t>
    </r>
    <r>
      <rPr>
        <b/>
        <i/>
        <sz val="11"/>
        <rFont val="Arial"/>
        <family val="2"/>
      </rPr>
      <t>:</t>
    </r>
  </si>
  <si>
    <t>CRC/ha</t>
  </si>
  <si>
    <t>CRC/pta</t>
  </si>
  <si>
    <t>CRC/L</t>
  </si>
  <si>
    <t>Coadyuvante (L/ha)</t>
  </si>
  <si>
    <t>Difusores</t>
  </si>
  <si>
    <t>Difusores (und/ha)</t>
  </si>
  <si>
    <t>Cant.</t>
  </si>
  <si>
    <t>Prop.</t>
  </si>
  <si>
    <t>kg/ha</t>
  </si>
  <si>
    <t>CRC/und</t>
  </si>
  <si>
    <t>CRC/kg</t>
  </si>
  <si>
    <t>Equipo agrícola</t>
  </si>
  <si>
    <t>Depreciación:</t>
  </si>
  <si>
    <t>Electricidad</t>
  </si>
  <si>
    <t>Acueductos</t>
  </si>
  <si>
    <t>Medios de transporte</t>
  </si>
  <si>
    <t>Herramientas agrícolas</t>
  </si>
  <si>
    <t>Fuente: Instituto del Café de Costa Rica (ICAFE).</t>
  </si>
  <si>
    <t>(CRC/ha)</t>
  </si>
  <si>
    <t>Gastos administrat.</t>
  </si>
  <si>
    <t>Almácigo (CRC/pta)</t>
  </si>
  <si>
    <t>Medios-Transp. (CRC/ha)</t>
  </si>
  <si>
    <t>Equipo Agricola (CRC/ha)</t>
  </si>
  <si>
    <t>Herram.-Agric. (CRC/ha)</t>
  </si>
  <si>
    <r>
      <t>Costos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Admin</t>
    </r>
    <r>
      <rPr>
        <b/>
        <sz val="10"/>
        <rFont val="Arial"/>
        <family val="2"/>
      </rPr>
      <t>. (CRC/ha)</t>
    </r>
  </si>
  <si>
    <t>Tipo-Cambio (CRC/USD)</t>
  </si>
  <si>
    <t>Costo Paquete Tecnológico (CRC):</t>
  </si>
  <si>
    <t>Costo Total de Producción Agrícola de Café (CRC)</t>
  </si>
  <si>
    <t>Valor</t>
  </si>
  <si>
    <t>Agotamiento de Cultivo</t>
  </si>
  <si>
    <t>Costos Directos + Transporte (CRC)</t>
  </si>
  <si>
    <t>Requerimiento (hh/ha)</t>
  </si>
  <si>
    <t>Horas</t>
  </si>
  <si>
    <t>Mano de Obra (hh/ha)</t>
  </si>
  <si>
    <t>hh/ha</t>
  </si>
  <si>
    <t>CRC/hh</t>
  </si>
  <si>
    <t>Recolección (CRC/400 L):</t>
  </si>
  <si>
    <t>Costo Directo + Transporte:</t>
  </si>
  <si>
    <t>Valor (CRC/ha)</t>
  </si>
  <si>
    <t>Estructura de Costos de Producción Agrícola de Café Fruta</t>
  </si>
  <si>
    <t>Fuentes: e-clasificados, Ministerio de Hacienda, Almacenes de Insumos, INEC, ICAFE, et all.</t>
  </si>
  <si>
    <t>Estructura de Costos de Producción Agrícola de Café</t>
  </si>
  <si>
    <t>Productividad (kg/ha):</t>
  </si>
  <si>
    <t>USD/ha</t>
  </si>
  <si>
    <t>USD/kg</t>
  </si>
  <si>
    <t>Partic.</t>
  </si>
  <si>
    <t>hora/ha</t>
  </si>
  <si>
    <t>USD/hora</t>
  </si>
  <si>
    <t>%</t>
  </si>
  <si>
    <t>USD/pta</t>
  </si>
  <si>
    <t>Fertilizante (NPK)</t>
  </si>
  <si>
    <t>Corrector de acidez</t>
  </si>
  <si>
    <t>USD/L</t>
  </si>
  <si>
    <t>USD/(L-kg)</t>
  </si>
  <si>
    <t>Costo Paquete Tecnológico (US$):</t>
  </si>
  <si>
    <t>Recolección de café</t>
  </si>
  <si>
    <t>Transp. (fertiliz. y cal)</t>
  </si>
  <si>
    <t>Transporte de café</t>
  </si>
  <si>
    <t>Costos Directos + Transporte (USD):</t>
  </si>
  <si>
    <t>Agotamiento de cultivo</t>
  </si>
  <si>
    <r>
      <t>Café</t>
    </r>
    <r>
      <rPr>
        <b/>
        <sz val="10"/>
        <rFont val="Arial"/>
        <family val="2"/>
      </rPr>
      <t xml:space="preserve"> </t>
    </r>
    <r>
      <rPr>
        <b/>
        <u val="double"/>
        <sz val="10"/>
        <rFont val="Arial"/>
        <family val="2"/>
      </rPr>
      <t>Oro</t>
    </r>
  </si>
  <si>
    <r>
      <t>Fertilizante (NH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</si>
  <si>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US cent/lb</t>
  </si>
  <si>
    <t>Labores de cultivo:</t>
  </si>
  <si>
    <t>Mano de obra</t>
  </si>
  <si>
    <t>Seguridad social</t>
  </si>
  <si>
    <t>F.Completa (kg/ha)</t>
  </si>
  <si>
    <t>F. Nitrogenada (kg/ha)</t>
  </si>
  <si>
    <t>Correc.de Acidez (kg/ha)</t>
  </si>
  <si>
    <t>Recolección café fruta</t>
  </si>
  <si>
    <t>Transporte café fruta</t>
  </si>
  <si>
    <t>Cosecha café fruta</t>
  </si>
  <si>
    <t>Transporte general</t>
  </si>
  <si>
    <t>Costo Total y Unitario *</t>
  </si>
  <si>
    <t>*/ BCCR: cambio promedio CRC/USD:</t>
  </si>
  <si>
    <t>Corrector de acidez (suelo)</t>
  </si>
  <si>
    <t>Costo Total de Producción Agrícola de Café (USD)</t>
  </si>
  <si>
    <t>Costo M-Obra (CRC/hh)</t>
  </si>
  <si>
    <t>Impuestos Munic.</t>
  </si>
  <si>
    <t>Construcciones (CRC/ha)</t>
  </si>
  <si>
    <r>
      <t>1.- Construcciones</t>
    </r>
    <r>
      <rPr>
        <b/>
        <i/>
        <vertAlign val="superscript"/>
        <sz val="11"/>
        <rFont val="Arial"/>
        <family val="2"/>
      </rPr>
      <t>b</t>
    </r>
    <r>
      <rPr>
        <b/>
        <i/>
        <sz val="11"/>
        <rFont val="Arial"/>
        <family val="2"/>
      </rPr>
      <t>:</t>
    </r>
  </si>
  <si>
    <t>Construcciones</t>
  </si>
  <si>
    <t>Construcciones (años)</t>
  </si>
  <si>
    <t>Valor Total del Inventario (CRC)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</si>
  <si>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</si>
  <si>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</si>
  <si>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</si>
  <si>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</si>
  <si>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</si>
  <si>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</si>
  <si>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</si>
  <si>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</si>
  <si>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</si>
  <si>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</si>
  <si>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</si>
  <si>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</si>
  <si>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Recolección</t>
  </si>
  <si>
    <t>Renovación</t>
  </si>
  <si>
    <t>Compl.</t>
  </si>
  <si>
    <t>Nitrog.</t>
  </si>
  <si>
    <t>Salarios Pagados (CRC)</t>
  </si>
  <si>
    <t>Insumos (und/ha)</t>
  </si>
  <si>
    <t>Transporte</t>
  </si>
  <si>
    <t>Abonos y Cal</t>
  </si>
  <si>
    <t>Almácigo</t>
  </si>
  <si>
    <t>Café Fruta</t>
  </si>
  <si>
    <t>Costos Indirectos</t>
  </si>
  <si>
    <t>Agotamiento</t>
  </si>
  <si>
    <t>Mant.&amp;Rep. Activos</t>
  </si>
  <si>
    <t>Depreciación Activos</t>
  </si>
  <si>
    <t>Total Indirectos</t>
  </si>
  <si>
    <t>Gastos Administrativos</t>
  </si>
  <si>
    <t>Compra de Insumos (CRC)</t>
  </si>
  <si>
    <t>Costo Total s/Cargas (CRC)</t>
  </si>
  <si>
    <t>Costo Total s/Cargas (USD)</t>
  </si>
  <si>
    <t>Tipo Cambio (CRC/USD)</t>
  </si>
  <si>
    <t>Cosecha</t>
  </si>
  <si>
    <t>Fruta</t>
  </si>
  <si>
    <t>c/ Tipo de Cambio Promedio de la Cosecha [BCCR]- CRC/USD:</t>
  </si>
  <si>
    <t>Actualizar =&gt;</t>
  </si>
  <si>
    <t>Rubro</t>
  </si>
  <si>
    <t>Insumos Agropecuarios</t>
  </si>
  <si>
    <t>M-Obra y Cargas S.</t>
  </si>
  <si>
    <t>Fertilizantes</t>
  </si>
  <si>
    <t>Otros Agroquímicos</t>
  </si>
  <si>
    <t>Part.(%)</t>
  </si>
  <si>
    <t>Totales (CRC/ha)</t>
  </si>
  <si>
    <t>FINCA DE BAJA</t>
  </si>
  <si>
    <t>PRODUCTIVIDAD</t>
  </si>
  <si>
    <t>FINCA DE ALTA</t>
  </si>
  <si>
    <t>fan/ha</t>
  </si>
  <si>
    <t>x</t>
  </si>
  <si>
    <t>Cambio</t>
  </si>
  <si>
    <t>INCREMENTO</t>
  </si>
  <si>
    <t>12% AGROQUÍM.</t>
  </si>
  <si>
    <t>Costo Operativo</t>
  </si>
  <si>
    <t>Productividad (fan/ha)</t>
  </si>
  <si>
    <t>Rend.Benef.(kg/fan)</t>
  </si>
  <si>
    <t>Café Fruta (CRC/fan)</t>
  </si>
  <si>
    <t xml:space="preserve">  Productividad (fan/ha):</t>
  </si>
  <si>
    <t>b/ Fanega: unidad de volumen correspondiente a 400 L o dos dobles hectolitros (2 Dhl).</t>
  </si>
  <si>
    <t>a</t>
  </si>
  <si>
    <t>b</t>
  </si>
  <si>
    <t>c</t>
  </si>
  <si>
    <t>ASISTENCIA TÉCNICA PARA CAFÉ</t>
  </si>
  <si>
    <t>a/ La base técnica de esta estructura de costos son las recomendaciones técnicas establecidas por ICAFE.</t>
  </si>
  <si>
    <t>CRC/fan</t>
  </si>
  <si>
    <r>
      <t>USD</t>
    </r>
    <r>
      <rPr>
        <b/>
        <vertAlign val="superscript"/>
        <sz val="10"/>
        <rFont val="Arial"/>
        <family val="2"/>
      </rPr>
      <t>c</t>
    </r>
    <r>
      <rPr>
        <b/>
        <sz val="10"/>
        <rFont val="Arial"/>
        <family val="2"/>
      </rPr>
      <t>/fan</t>
    </r>
  </si>
  <si>
    <r>
      <t>USD</t>
    </r>
    <r>
      <rPr>
        <b/>
        <vertAlign val="superscript"/>
        <sz val="10"/>
        <color indexed="9"/>
        <rFont val="Arial"/>
        <family val="2"/>
      </rPr>
      <t>c</t>
    </r>
    <r>
      <rPr>
        <b/>
        <sz val="10"/>
        <color indexed="9"/>
        <rFont val="Arial"/>
        <family val="2"/>
      </rPr>
      <t>/fan</t>
    </r>
  </si>
  <si>
    <t>b/ Fanega: unidad de volumen equivalente a 400 L, o dos dobles hectolitros (2 Dhl).</t>
  </si>
  <si>
    <t>a/ La base técnica de esta estructura de costos son las recomendaciones técnicas establecidas por ICAFE para asistencia del cultivo.</t>
  </si>
  <si>
    <t>(CRC/fan)</t>
  </si>
  <si>
    <r>
      <t>(USD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/fan)</t>
    </r>
  </si>
  <si>
    <t>Recomendación Técnica</t>
  </si>
  <si>
    <r>
      <t>Recomendación Técnica Nacional</t>
    </r>
    <r>
      <rPr>
        <b/>
        <vertAlign val="superscript"/>
        <sz val="14"/>
        <rFont val="Bookman Old Style"/>
        <family val="1"/>
      </rPr>
      <t>a</t>
    </r>
    <r>
      <rPr>
        <b/>
        <sz val="14"/>
        <rFont val="Bookman Old Style"/>
        <family val="1"/>
      </rPr>
      <t xml:space="preserve"> - Fincas de 40 a 70 fan</t>
    </r>
    <r>
      <rPr>
        <b/>
        <vertAlign val="superscript"/>
        <sz val="14"/>
        <rFont val="Bookman Old Style"/>
        <family val="1"/>
      </rPr>
      <t>b</t>
    </r>
    <r>
      <rPr>
        <b/>
        <sz val="14"/>
        <rFont val="Bookman Old Style"/>
        <family val="1"/>
      </rPr>
      <t>/ha</t>
    </r>
  </si>
  <si>
    <r>
      <t>Recomendación Técnica Nacional</t>
    </r>
    <r>
      <rPr>
        <b/>
        <vertAlign val="superscript"/>
        <sz val="13"/>
        <rFont val="Bookman Old Style"/>
        <family val="1"/>
      </rPr>
      <t>a</t>
    </r>
    <r>
      <rPr>
        <b/>
        <sz val="13"/>
        <rFont val="Bookman Old Style"/>
        <family val="1"/>
      </rPr>
      <t xml:space="preserve"> - Fincas de 40 a 70 fan</t>
    </r>
    <r>
      <rPr>
        <b/>
        <vertAlign val="superscript"/>
        <sz val="13"/>
        <rFont val="Bookman Old Style"/>
        <family val="1"/>
      </rPr>
      <t>b</t>
    </r>
    <r>
      <rPr>
        <b/>
        <sz val="13"/>
        <rFont val="Bookman Old Style"/>
        <family val="1"/>
      </rPr>
      <t>/ha</t>
    </r>
  </si>
  <si>
    <t>Insecticida (L/ha)</t>
  </si>
  <si>
    <t>Insecticida</t>
  </si>
  <si>
    <t>Promedio</t>
  </si>
  <si>
    <t>Estrobilurina (kg-L/ha)</t>
  </si>
  <si>
    <t>Cobres (kg-L/ha)</t>
  </si>
  <si>
    <t>Fungicida (estrobilurina)</t>
  </si>
  <si>
    <t>Fungicida (cobres)</t>
  </si>
  <si>
    <t>Fungicida (ferbam)</t>
  </si>
  <si>
    <t>Datos</t>
  </si>
  <si>
    <t>Podada</t>
  </si>
  <si>
    <t>Café</t>
  </si>
  <si>
    <t>Código</t>
  </si>
  <si>
    <t>SISTEMA</t>
  </si>
  <si>
    <t>EQUIPO</t>
  </si>
  <si>
    <t>11</t>
  </si>
  <si>
    <t>12</t>
  </si>
  <si>
    <t>21</t>
  </si>
  <si>
    <t>22</t>
  </si>
  <si>
    <t>PODA DEL CAFETAL</t>
  </si>
  <si>
    <t># Deshijas</t>
  </si>
  <si>
    <t>MO (hh/ha)</t>
  </si>
  <si>
    <t>NÚMERO</t>
  </si>
  <si>
    <t>DESHIJAS</t>
  </si>
  <si>
    <t>hh/desh.</t>
  </si>
  <si>
    <t>DESHIJA DEL CAFETAL</t>
  </si>
  <si>
    <t>ARREGLOS</t>
  </si>
  <si>
    <t># Arreglos</t>
  </si>
  <si>
    <t>hh/arreglo</t>
  </si>
  <si>
    <t>ARREGLOS DE SOMBRA</t>
  </si>
  <si>
    <t>Prod (fan/ha)</t>
  </si>
  <si>
    <t>Fórm.Completa</t>
  </si>
  <si>
    <t>g/planta</t>
  </si>
  <si>
    <t>Sac45/ha</t>
  </si>
  <si>
    <t>Und.</t>
  </si>
  <si>
    <t>M-Obra</t>
  </si>
  <si>
    <t>Logarít.</t>
  </si>
  <si>
    <t>FERTILIZACIÓN DE PLANTAS EN PRODUCCIÓN</t>
  </si>
  <si>
    <t>DENSIDAD DE SIEMBRA</t>
  </si>
  <si>
    <t>Distancia entre:</t>
  </si>
  <si>
    <t>HILERAS</t>
  </si>
  <si>
    <t>m</t>
  </si>
  <si>
    <t>PLANTAS</t>
  </si>
  <si>
    <t>DENSIDAD</t>
  </si>
  <si>
    <t>USO de SOMBRA</t>
  </si>
  <si>
    <t>Precio</t>
  </si>
  <si>
    <t>CRC/Sac45</t>
  </si>
  <si>
    <t>PROM</t>
  </si>
  <si>
    <t>*/ Cíclica por hileras o total por lote.</t>
  </si>
  <si>
    <t>Insumos</t>
  </si>
  <si>
    <t>Dosis</t>
  </si>
  <si>
    <t>Frec.</t>
  </si>
  <si>
    <t>Total (Und.)</t>
  </si>
  <si>
    <t>Amistar 50 WG</t>
  </si>
  <si>
    <t>kg</t>
  </si>
  <si>
    <t>Atemi 10 SL</t>
  </si>
  <si>
    <t>L</t>
  </si>
  <si>
    <t>Coadyuvante</t>
  </si>
  <si>
    <t>Cyprosol 10 SL</t>
  </si>
  <si>
    <t>Hidróxido de Cobre</t>
  </si>
  <si>
    <t>Mistral 25 SC</t>
  </si>
  <si>
    <t>Opera 18.3 SE</t>
  </si>
  <si>
    <t>kg/L</t>
  </si>
  <si>
    <t>Agua</t>
  </si>
  <si>
    <t># Apl.</t>
  </si>
  <si>
    <t>L/apl</t>
  </si>
  <si>
    <t>hh/200 L</t>
  </si>
  <si>
    <t>Potencial</t>
  </si>
  <si>
    <t>ATOMIZACIONES</t>
  </si>
  <si>
    <t>1ra</t>
  </si>
  <si>
    <t>2da</t>
  </si>
  <si>
    <t>3ra</t>
  </si>
  <si>
    <t>Porcent.</t>
  </si>
  <si>
    <t>F.C.</t>
  </si>
  <si>
    <t>WEB</t>
  </si>
  <si>
    <t>Pag. 30</t>
  </si>
  <si>
    <t>Pag. 74</t>
  </si>
  <si>
    <t>Und./ha</t>
  </si>
  <si>
    <t>Pag. 52 a 65</t>
  </si>
  <si>
    <t>Pag. 37 a 40</t>
  </si>
  <si>
    <t>Pag. 15</t>
  </si>
  <si>
    <t>Pag. 41</t>
  </si>
  <si>
    <t>Pag. 42</t>
  </si>
  <si>
    <t>Pag. 13</t>
  </si>
  <si>
    <t>CONTROL MECÁNICO DE MALEZAS</t>
  </si>
  <si>
    <t># Chapeas</t>
  </si>
  <si>
    <t>CHAPEAS</t>
  </si>
  <si>
    <t>Equipo</t>
  </si>
  <si>
    <t>hh/Chap.</t>
  </si>
  <si>
    <t>Pag. 42 a 45</t>
  </si>
  <si>
    <t>Pag. 12</t>
  </si>
  <si>
    <t>Herbicida</t>
  </si>
  <si>
    <t>Glifosato 35.6 SL</t>
  </si>
  <si>
    <t>CONTROL QUÍMICO DE MALEZAS</t>
  </si>
  <si>
    <t>Pag. 10, 16 a 17</t>
  </si>
  <si>
    <r>
      <t>Requerimiento (</t>
    </r>
    <r>
      <rPr>
        <b/>
        <sz val="14"/>
        <color rgb="FF33CC33"/>
        <rFont val="Avenir Next LT Pro"/>
        <family val="2"/>
      </rPr>
      <t>N</t>
    </r>
    <r>
      <rPr>
        <sz val="14"/>
        <rFont val="Avenir Next LT Pro"/>
        <family val="2"/>
      </rPr>
      <t>)</t>
    </r>
  </si>
  <si>
    <t>(kg-L)/ha</t>
  </si>
  <si>
    <t>CRC/(kg-L)</t>
  </si>
  <si>
    <t>Coadyuv.(Surfactante)</t>
  </si>
  <si>
    <t>Coadyuv.(Regulador pH)</t>
  </si>
  <si>
    <t>Pag. 8-9</t>
  </si>
  <si>
    <t>TECNOLOGÍA</t>
  </si>
  <si>
    <t>CAFETALERA</t>
  </si>
  <si>
    <t>Usuario:</t>
  </si>
  <si>
    <r>
      <t>Aporte (</t>
    </r>
    <r>
      <rPr>
        <b/>
        <sz val="14"/>
        <color rgb="FF33CC33"/>
        <rFont val="Avenir Next LT Pro"/>
        <family val="2"/>
      </rPr>
      <t>N</t>
    </r>
    <r>
      <rPr>
        <sz val="14"/>
        <rFont val="Avenir Next LT Pro"/>
        <family val="2"/>
      </rPr>
      <t>)</t>
    </r>
  </si>
  <si>
    <t>Cuadrát.</t>
  </si>
  <si>
    <t>Pag. 17</t>
  </si>
  <si>
    <t>Prefloración</t>
  </si>
  <si>
    <t>May-Jun, Jun-Jul.</t>
  </si>
  <si>
    <t>Ago, Set.</t>
  </si>
  <si>
    <t>Época, s/Región</t>
  </si>
  <si>
    <t>Set, Oct-Nov.</t>
  </si>
  <si>
    <t>Control mecánico de malezas</t>
  </si>
  <si>
    <t>Control químico de malezas</t>
  </si>
  <si>
    <t>N</t>
  </si>
  <si>
    <t>Insecticida (Broca)</t>
  </si>
  <si>
    <r>
      <t>Control</t>
    </r>
    <r>
      <rPr>
        <b/>
        <i/>
        <sz val="10"/>
        <rFont val="Arial"/>
        <family val="2"/>
      </rPr>
      <t xml:space="preserve"> </t>
    </r>
    <r>
      <rPr>
        <b/>
        <i/>
        <u/>
        <sz val="10"/>
        <rFont val="Arial"/>
        <family val="2"/>
      </rPr>
      <t>Broca</t>
    </r>
    <r>
      <rPr>
        <b/>
        <i/>
        <sz val="10"/>
        <rFont val="Arial"/>
        <family val="2"/>
      </rPr>
      <t>:</t>
    </r>
  </si>
  <si>
    <t>Difusores (Broca)</t>
  </si>
  <si>
    <t>Lineal</t>
  </si>
  <si>
    <t>Manual:</t>
  </si>
  <si>
    <t>Aplic.</t>
  </si>
  <si>
    <t>Opción</t>
  </si>
  <si>
    <t>Primera o Cuarta Atomización (Opciones):</t>
  </si>
  <si>
    <t>Segunda o Tercera Atomización (Opciones):</t>
  </si>
  <si>
    <t>4ta</t>
  </si>
  <si>
    <t>Costo de Aplicación</t>
  </si>
  <si>
    <t>Cuadrática</t>
  </si>
  <si>
    <t>Salarios de Peones</t>
  </si>
  <si>
    <t>Cargas Sociales</t>
  </si>
  <si>
    <t>Abonos</t>
  </si>
  <si>
    <t>Fuente Calcárea</t>
  </si>
  <si>
    <t>Fungicida/Foliar</t>
  </si>
  <si>
    <t>Herbicidas</t>
  </si>
  <si>
    <t>Control Plagas</t>
  </si>
  <si>
    <t>Agotamiento Cultivo</t>
  </si>
  <si>
    <t>Gastos Administrat.</t>
  </si>
  <si>
    <t>Total (CRC/ha)</t>
  </si>
  <si>
    <t>Produc.(fan/ha)</t>
  </si>
  <si>
    <t>Total (CRC/fan)</t>
  </si>
  <si>
    <t>Recom.Técn.</t>
  </si>
  <si>
    <t>Verde</t>
  </si>
  <si>
    <t>Break Thru 100 SL</t>
  </si>
  <si>
    <t>Cosmo- In d 27 SL</t>
  </si>
  <si>
    <t>Imbirex CR 80 SL</t>
  </si>
  <si>
    <t>Limonoil 15 SL</t>
  </si>
  <si>
    <t>Drexel Pas 80 SL</t>
  </si>
  <si>
    <t>Motobomba de Espalda</t>
  </si>
  <si>
    <t>Estañón</t>
  </si>
  <si>
    <t>Lima plana 12"</t>
  </si>
  <si>
    <t>Cuchillo (22'' a ó 28'')</t>
  </si>
  <si>
    <t>Coady. (Surfactante)</t>
  </si>
  <si>
    <t>60 a 120</t>
  </si>
  <si>
    <t>125 a 400</t>
  </si>
  <si>
    <t>ml/200 L</t>
  </si>
  <si>
    <t>Coady. (Reg. pH)</t>
  </si>
  <si>
    <t>Acifix</t>
  </si>
  <si>
    <t>pH Master 54 SL</t>
  </si>
  <si>
    <t>CRC/[kg, L]</t>
  </si>
  <si>
    <t>[g/ml]</t>
  </si>
  <si>
    <t>200 L</t>
  </si>
  <si>
    <t>Tamaño de Finca (ha)</t>
  </si>
  <si>
    <t>A</t>
  </si>
  <si>
    <t>B</t>
  </si>
  <si>
    <t>C</t>
  </si>
  <si>
    <t>D</t>
  </si>
  <si>
    <t>1.5 a 6.0</t>
  </si>
  <si>
    <t>6.0 a 12.0</t>
  </si>
  <si>
    <t>12.0 a 24.0</t>
  </si>
  <si>
    <t>24.0 a 40.0</t>
  </si>
  <si>
    <t>Este indicador modifica inventario de activos, costos de transporte y gastos administrativos</t>
  </si>
  <si>
    <t>Mantenim.</t>
  </si>
  <si>
    <t>&amp; Reparac.</t>
  </si>
  <si>
    <t>Fertiliz./Cal (CRC/kg)</t>
  </si>
  <si>
    <t>Este indicador modifica inventario de activos, costos de transporte y gastos administrativos.</t>
  </si>
  <si>
    <t>Fert.&amp;Cal</t>
  </si>
  <si>
    <t>Gasto Adm.</t>
  </si>
  <si>
    <t>Impuesto</t>
  </si>
  <si>
    <t>HISTÓRICO DE COSTO UNITARIO DE INSUMOS AGRÍCOLAS</t>
  </si>
  <si>
    <t>AÑO COMIENZO</t>
  </si>
  <si>
    <t>INSUMOS</t>
  </si>
  <si>
    <t>Und</t>
  </si>
  <si>
    <t>2006-07</t>
  </si>
  <si>
    <t>Salario de Peones</t>
  </si>
  <si>
    <t xml:space="preserve"> &lt;== REF: MTSS, Salario Mínimo</t>
  </si>
  <si>
    <t>Cuotas Patronales</t>
  </si>
  <si>
    <t xml:space="preserve"> &lt;== Desglose según CCSS</t>
  </si>
  <si>
    <t>Cuotas Patronales Campo</t>
  </si>
  <si>
    <t>Total CCSS</t>
  </si>
  <si>
    <t>SEM</t>
  </si>
  <si>
    <t>IVM</t>
  </si>
  <si>
    <t>Otras Instituciones</t>
  </si>
  <si>
    <t>BPDC</t>
  </si>
  <si>
    <t>FODESAF</t>
  </si>
  <si>
    <t>IMAS</t>
  </si>
  <si>
    <t>INA</t>
  </si>
  <si>
    <t>Ley Protec. al Trabajador</t>
  </si>
  <si>
    <t>FCL</t>
  </si>
  <si>
    <t>ROP</t>
  </si>
  <si>
    <t>Garantías Sociales</t>
  </si>
  <si>
    <t>Aguinaldo</t>
  </si>
  <si>
    <t>Cesantía</t>
  </si>
  <si>
    <t>Seguro Riesgos Profes.</t>
  </si>
  <si>
    <t>AGROQUÍMICOS</t>
  </si>
  <si>
    <t>Árboles de Sombra</t>
  </si>
  <si>
    <t>CRC/árb</t>
  </si>
  <si>
    <t>Insecticida (Jobotos)</t>
  </si>
  <si>
    <t>Fórmula de Siembra</t>
  </si>
  <si>
    <t>CRC/45 kg</t>
  </si>
  <si>
    <t>Fórmula Completa</t>
  </si>
  <si>
    <t>Fórmula Nitrogenada</t>
  </si>
  <si>
    <t>Carbonato de Calcio</t>
  </si>
  <si>
    <t>Cal Dolomita</t>
  </si>
  <si>
    <t>Opera 18,3 SE</t>
  </si>
  <si>
    <t>TRANSPORTE</t>
  </si>
  <si>
    <t>Fertilizantes &amp; F.Calcáreas</t>
  </si>
  <si>
    <t>Finca de 1.5 a 6.0 ha</t>
  </si>
  <si>
    <t>Finca de 6.0 a 12.0 ha</t>
  </si>
  <si>
    <t>Finca de 12.0 a 24.0 ha</t>
  </si>
  <si>
    <t>Finca de 24.0 a 40.0 ha</t>
  </si>
  <si>
    <t>Recolección de Café</t>
  </si>
  <si>
    <t>CRC/caj</t>
  </si>
  <si>
    <t>INVENTARIO ACTIVOS</t>
  </si>
  <si>
    <t>CRC/m2</t>
  </si>
  <si>
    <t>Tractor (60- 80 CV)</t>
  </si>
  <si>
    <t>Pick up (4x2 &amp; 4x4)</t>
  </si>
  <si>
    <t>MANTEN &amp; REPARAC</t>
  </si>
  <si>
    <t>Medios de Transporte</t>
  </si>
  <si>
    <t>Equipo Agrícola</t>
  </si>
  <si>
    <t>Herramientas Agrícolas</t>
  </si>
  <si>
    <t>GASTO ADMINISTRAT.</t>
  </si>
  <si>
    <t>Impuesto Bienes Inmuebles</t>
  </si>
  <si>
    <t>Servicio Eléctrico</t>
  </si>
  <si>
    <t>Servicio de Acueductos</t>
  </si>
  <si>
    <t>Fungicida (hidróx.cobre)</t>
  </si>
  <si>
    <t>Fungicida (sulf.cobre)</t>
  </si>
  <si>
    <t>CRC/[kg-L]</t>
  </si>
  <si>
    <t>BCCR - Tipo de Cambio Promedio de Venta y Compra del Dólar Estadounidense (CRC/USD)</t>
  </si>
  <si>
    <t>Año</t>
  </si>
  <si>
    <t>001-Ene</t>
  </si>
  <si>
    <t>002-Feb</t>
  </si>
  <si>
    <t>003-Mar</t>
  </si>
  <si>
    <t>004-Abr</t>
  </si>
  <si>
    <t>005-May</t>
  </si>
  <si>
    <t>006-Jun</t>
  </si>
  <si>
    <t>007-Jul</t>
  </si>
  <si>
    <t>008-Ago</t>
  </si>
  <si>
    <t>009-Set</t>
  </si>
  <si>
    <t>010-Oct</t>
  </si>
  <si>
    <t>011-Nov</t>
  </si>
  <si>
    <t>012-Dic</t>
  </si>
  <si>
    <t>PROMEDIO</t>
  </si>
  <si>
    <t>Año 1</t>
  </si>
  <si>
    <t>Año 2</t>
  </si>
  <si>
    <t>Porcentaje (Año1)</t>
  </si>
  <si>
    <t>RENOVACIÓN</t>
  </si>
  <si>
    <t>LINEAL</t>
  </si>
  <si>
    <t>CUADRAT.</t>
  </si>
  <si>
    <t>POTENCIAL</t>
  </si>
  <si>
    <t>LABORES DE CULTIVO</t>
  </si>
  <si>
    <t>MANO DE OBRA</t>
  </si>
  <si>
    <t>RECOLECCIÓN</t>
  </si>
  <si>
    <t>Renovación Cultivo</t>
  </si>
  <si>
    <t>COSTOS INDIRECTOS</t>
  </si>
  <si>
    <t>COSTO TOTAL (CRC/ha)</t>
  </si>
  <si>
    <t>COSTO TOTAL (CRC/fan)</t>
  </si>
  <si>
    <t>CÁLCULO DEL AGOTAMIENTO DE CULTIVO POR COSECHA</t>
  </si>
  <si>
    <t>Aplicación de fertilizantes</t>
  </si>
  <si>
    <t>C.S.</t>
  </si>
  <si>
    <t>Dosis (Und/ha)</t>
  </si>
  <si>
    <t>Fytosan 20 WP (kg)</t>
  </si>
  <si>
    <t>Cupritozell 24 SC (L)</t>
  </si>
  <si>
    <t>CRC/Und</t>
  </si>
  <si>
    <t>*/ El cronograma debe ajustarse según la Región Cafetalera.</t>
  </si>
  <si>
    <t>CRONOGRAMA DE LABORES DE CULTIVO *</t>
  </si>
  <si>
    <t>ASISTENCIA DE CAFETALES</t>
  </si>
  <si>
    <t>Fertilizante</t>
  </si>
  <si>
    <t>Promedio mensual últimas 4 cosechas.</t>
  </si>
  <si>
    <t>Triazol</t>
  </si>
  <si>
    <t>Estrobilurina</t>
  </si>
  <si>
    <t>Cobres</t>
  </si>
  <si>
    <t>Funibiol (bioinsumo)</t>
  </si>
  <si>
    <t>Herbicida (glufosinato)</t>
  </si>
  <si>
    <t>Glufosinato de Amonio (L/ha)</t>
  </si>
  <si>
    <t>Funibiol (L/ha)</t>
  </si>
  <si>
    <t>Bioinsumo (Funibiol)</t>
  </si>
  <si>
    <t>2023-24</t>
  </si>
  <si>
    <t>Form.Comercial</t>
  </si>
  <si>
    <t>REQUERIMIENTO DE PODA</t>
  </si>
  <si>
    <t>REQUERIMIENTO DE DESHIJA</t>
  </si>
  <si>
    <t>REQUERIMIENTO DE ARREGLOS</t>
  </si>
  <si>
    <t>Kypros 85 WP (kg)</t>
  </si>
  <si>
    <t>Sergomil L-60 (L)</t>
  </si>
  <si>
    <t>Cobres (+Solubles)</t>
  </si>
  <si>
    <t>Funibiol (L)</t>
  </si>
  <si>
    <t>Keyplex 350 DP (L)</t>
  </si>
  <si>
    <t>Cobres más Solubles</t>
  </si>
  <si>
    <t>Bioestimulante (efecto fungicida)</t>
  </si>
  <si>
    <t>Cobre más Soluble</t>
  </si>
  <si>
    <t>200 a 300</t>
  </si>
  <si>
    <t>Cosmo Aguas 100 SP</t>
  </si>
  <si>
    <t>60 a 360</t>
  </si>
  <si>
    <t>120 a 160</t>
  </si>
  <si>
    <t>250 a 1000</t>
  </si>
  <si>
    <t>MCRC2526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</si>
</sst>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0.0"/>
    <numFmt numFmtId="166" formatCode="#,##0.0"/>
    <numFmt numFmtId="167" formatCode="0.0000"/>
    <numFmt numFmtId="168" formatCode="0.000"/>
    <numFmt numFmtId="169" formatCode="#,##0.0000"/>
    <numFmt numFmtId="170" formatCode="0.00000000"/>
    <numFmt numFmtId="171" formatCode="General_)"/>
    <numFmt numFmtId="172" formatCode="_-* #,##0.00\ _P_t_s_-;\-* #,##0.00\ _P_t_s_-;_-* &quot;-&quot;??\ _P_t_s_-;_-@_-"/>
  </numFmts>
  <fonts count="10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Bookman Old Style"/>
      <family val="1"/>
    </font>
    <font>
      <b/>
      <sz val="14"/>
      <name val="Bookman Old Style"/>
      <family val="1"/>
    </font>
    <font>
      <sz val="7.5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color indexed="9"/>
      <name val="Comic Sans MS"/>
      <family val="4"/>
    </font>
    <font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vertAlign val="superscript"/>
      <sz val="10"/>
      <color indexed="9"/>
      <name val="Arial"/>
      <family val="2"/>
    </font>
    <font>
      <b/>
      <sz val="13"/>
      <name val="Bookman Old Style"/>
      <family val="1"/>
    </font>
    <font>
      <b/>
      <vertAlign val="superscript"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vertAlign val="superscript"/>
      <sz val="11"/>
      <name val="Arial"/>
      <family val="2"/>
    </font>
    <font>
      <b/>
      <u/>
      <sz val="18"/>
      <name val="Bookman Old Style"/>
      <family val="1"/>
    </font>
    <font>
      <b/>
      <sz val="18"/>
      <name val="Bookman Old Style"/>
      <family val="1"/>
    </font>
    <font>
      <b/>
      <u val="double"/>
      <sz val="18"/>
      <name val="Bookman Old Style"/>
      <family val="1"/>
    </font>
    <font>
      <b/>
      <i/>
      <vertAlign val="superscript"/>
      <sz val="11"/>
      <name val="Arial"/>
      <family val="2"/>
    </font>
    <font>
      <b/>
      <vertAlign val="superscript"/>
      <sz val="18"/>
      <name val="Bookman Old Style"/>
      <family val="1"/>
    </font>
    <font>
      <vertAlign val="superscript"/>
      <sz val="10"/>
      <name val="Arial"/>
      <family val="2"/>
    </font>
    <font>
      <b/>
      <u val="double"/>
      <sz val="10"/>
      <name val="Arial"/>
      <family val="2"/>
    </font>
    <font>
      <vertAlign val="subscript"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theme="0"/>
      <name val="Arial"/>
      <family val="2"/>
    </font>
    <font>
      <sz val="10"/>
      <name val="Courier"/>
      <family val="3"/>
    </font>
    <font>
      <sz val="1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vertAlign val="superscript"/>
      <sz val="14"/>
      <name val="Bookman Old Style"/>
      <family val="1"/>
    </font>
    <font>
      <b/>
      <vertAlign val="superscript"/>
      <sz val="13"/>
      <name val="Bookman Old Style"/>
      <family val="1"/>
    </font>
    <font>
      <sz val="14"/>
      <name val="Avenir Next LT Pro"/>
      <family val="2"/>
    </font>
    <font>
      <b/>
      <sz val="14"/>
      <color theme="0"/>
      <name val="Avenir Next LT Pro"/>
      <family val="2"/>
    </font>
    <font>
      <b/>
      <sz val="14"/>
      <name val="Avenir Next LT Pro"/>
      <family val="2"/>
    </font>
    <font>
      <sz val="14"/>
      <color theme="1"/>
      <name val="Avenir Next LT Pro"/>
      <family val="2"/>
    </font>
    <font>
      <b/>
      <sz val="12"/>
      <name val="Avenir Next LT Pro"/>
      <family val="2"/>
    </font>
    <font>
      <sz val="10"/>
      <name val="Avenir Next LT Pro"/>
      <family val="2"/>
    </font>
    <font>
      <u/>
      <sz val="10"/>
      <color theme="10"/>
      <name val="Arial"/>
      <family val="2"/>
    </font>
    <font>
      <b/>
      <i/>
      <sz val="12"/>
      <name val="Avenir Next LT Pro"/>
      <family val="2"/>
    </font>
    <font>
      <b/>
      <i/>
      <sz val="14"/>
      <name val="Avenir Next LT Pro"/>
      <family val="2"/>
    </font>
    <font>
      <b/>
      <sz val="14"/>
      <color rgb="FFFFFF1D"/>
      <name val="Avenir Next LT Pro"/>
      <family val="2"/>
    </font>
    <font>
      <b/>
      <sz val="14"/>
      <color rgb="FF33CC33"/>
      <name val="Avenir Next LT Pro"/>
      <family val="2"/>
    </font>
    <font>
      <sz val="14"/>
      <color theme="2" tint="-9.9978637043366805E-2"/>
      <name val="Avenir Next LT Pro"/>
      <family val="2"/>
    </font>
    <font>
      <sz val="11"/>
      <name val="Avenir Next LT Pro"/>
      <family val="2"/>
    </font>
    <font>
      <b/>
      <sz val="11"/>
      <color theme="0"/>
      <name val="Avenir Next LT Pro"/>
      <family val="2"/>
    </font>
    <font>
      <sz val="11"/>
      <color theme="1"/>
      <name val="Avenir Next LT Pro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0"/>
      <name val="Avenir Next LT Pro"/>
      <family val="2"/>
    </font>
    <font>
      <sz val="7"/>
      <name val="Avenir Next LT Pro"/>
      <family val="2"/>
    </font>
    <font>
      <sz val="7"/>
      <color theme="1"/>
      <name val="Avenir Next LT Pro"/>
      <family val="2"/>
    </font>
    <font>
      <b/>
      <sz val="7"/>
      <name val="Avenir Next LT Pro"/>
      <family val="2"/>
    </font>
    <font>
      <i/>
      <sz val="8"/>
      <name val="Arial"/>
      <family val="2"/>
    </font>
    <font>
      <i/>
      <sz val="9"/>
      <name val="Arial"/>
      <family val="2"/>
    </font>
    <font>
      <i/>
      <sz val="9"/>
      <name val="Avenir Next LT Pro"/>
      <family val="2"/>
    </font>
    <font>
      <sz val="7"/>
      <name val="Avenir Next LT Pro Light"/>
      <family val="2"/>
    </font>
    <font>
      <b/>
      <sz val="7"/>
      <name val="Avenir Next LT Pro Light"/>
      <family val="2"/>
    </font>
    <font>
      <b/>
      <sz val="7"/>
      <color theme="0"/>
      <name val="Avenir Next LT Pro"/>
      <family val="2"/>
    </font>
    <font>
      <sz val="12"/>
      <name val="Comic Sans MS"/>
      <family val="4"/>
    </font>
    <font>
      <b/>
      <sz val="11"/>
      <color indexed="9"/>
      <name val="Comic Sans MS"/>
      <family val="4"/>
    </font>
    <font>
      <sz val="9"/>
      <name val="Avenir Next LT Pro"/>
      <family val="2"/>
    </font>
    <font>
      <b/>
      <sz val="18"/>
      <name val="Avenir Next LT Pro"/>
      <family val="2"/>
    </font>
    <font>
      <b/>
      <sz val="12"/>
      <color theme="0"/>
      <name val="Avenir Next LT Pro"/>
      <family val="2"/>
    </font>
    <font>
      <b/>
      <sz val="12"/>
      <color rgb="FFFFFF1D"/>
      <name val="Avenir Next LT Pro"/>
      <family val="2"/>
    </font>
    <font>
      <b/>
      <sz val="9"/>
      <color theme="0"/>
      <name val="Avenir Next LT Pro"/>
      <family val="2"/>
    </font>
    <font>
      <b/>
      <sz val="9"/>
      <color rgb="FFFFFF1D"/>
      <name val="Avenir Next LT Pro"/>
      <family val="2"/>
    </font>
    <font>
      <b/>
      <i/>
      <sz val="9"/>
      <name val="Avenir Next LT Pro"/>
      <family val="2"/>
    </font>
    <font>
      <sz val="9"/>
      <color rgb="FFFF0000"/>
      <name val="Avenir Next LT Pro"/>
      <family val="2"/>
    </font>
    <font>
      <sz val="18"/>
      <name val="Avenir Next LT Pro"/>
      <family val="2"/>
    </font>
    <font>
      <sz val="9"/>
      <color theme="1"/>
      <name val="Avenir Next LT Pro"/>
      <family val="2"/>
    </font>
    <font>
      <b/>
      <i/>
      <sz val="9"/>
      <color theme="1"/>
      <name val="Avenir Next LT Pro"/>
      <family val="2"/>
    </font>
    <font>
      <sz val="12"/>
      <name val="Avenir Next LT Pro"/>
      <family val="2"/>
    </font>
    <font>
      <b/>
      <sz val="14"/>
      <color rgb="FFFFFF00"/>
      <name val="Avenir Next LT Pro"/>
      <family val="2"/>
    </font>
    <font>
      <sz val="14"/>
      <color theme="0"/>
      <name val="Avenir Next LT Pro"/>
      <family val="2"/>
    </font>
    <font>
      <b/>
      <sz val="10"/>
      <color rgb="FFFFFF00"/>
      <name val="Arial"/>
      <family val="2"/>
    </font>
    <font>
      <sz val="10"/>
      <color theme="1" tint="0.34998626667073579"/>
      <name val="Arial"/>
      <family val="2"/>
    </font>
    <font>
      <sz val="8"/>
      <color theme="1" tint="0.34998626667073579"/>
      <name val="Arial"/>
      <family val="2"/>
    </font>
    <font>
      <b/>
      <sz val="16"/>
      <name val="Avenir 85 Heavy"/>
      <family val="2"/>
    </font>
    <font>
      <b/>
      <u/>
      <sz val="9"/>
      <color rgb="FFFF0000"/>
      <name val="Avenir Next LT Pro"/>
      <family val="2"/>
    </font>
    <font>
      <b/>
      <u/>
      <sz val="12"/>
      <color rgb="FFFF0000"/>
      <name val="Avenir Next LT Pro"/>
      <family val="2"/>
    </font>
    <font>
      <b/>
      <u/>
      <sz val="14"/>
      <color rgb="FFFF0000"/>
      <name val="Avenir Next LT Pro"/>
      <family val="2"/>
    </font>
    <font>
      <b/>
      <sz val="14"/>
      <color rgb="FFFF0000"/>
      <name val="Avenir Next LT Pro"/>
      <family val="2"/>
    </font>
    <font>
      <sz val="8"/>
      <color theme="2" tint="-9.9978637043366805E-2"/>
      <name val="Avenir Next LT Pro"/>
      <family val="2"/>
    </font>
    <font>
      <b/>
      <sz val="12"/>
      <color indexed="81"/>
      <name val="Tahoma"/>
      <family val="2"/>
    </font>
    <font>
      <b/>
      <sz val="9"/>
      <name val="Avenir Next LT Pro"/>
      <family val="2"/>
    </font>
    <font>
      <b/>
      <sz val="9"/>
      <color rgb="FFFFC000"/>
      <name val="Avenir Next LT Pro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7"/>
      <color theme="0"/>
      <name val="Avenir Next LT Pro"/>
      <family val="2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D4B34"/>
        <bgColor indexed="64"/>
      </patternFill>
    </fill>
    <fill>
      <patternFill patternType="solid">
        <fgColor rgb="FFEBECC4"/>
        <bgColor indexed="64"/>
      </patternFill>
    </fill>
    <fill>
      <patternFill patternType="solid">
        <fgColor rgb="FF34507B"/>
        <bgColor indexed="64"/>
      </patternFill>
    </fill>
    <fill>
      <patternFill patternType="solid">
        <fgColor rgb="FF829385"/>
        <bgColor indexed="64"/>
      </patternFill>
    </fill>
    <fill>
      <patternFill patternType="solid">
        <fgColor rgb="FF57A354"/>
        <bgColor indexed="64"/>
      </patternFill>
    </fill>
    <fill>
      <patternFill patternType="solid">
        <fgColor rgb="FFA9A389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6600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9"/>
      </left>
      <right style="hair">
        <color indexed="9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9"/>
      </left>
      <right style="hair">
        <color indexed="9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hair">
        <color indexed="9"/>
      </left>
      <right style="hair">
        <color indexed="9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9" fontId="2" fillId="0" borderId="0" applyFont="0" applyFill="0" applyBorder="0" applyAlignment="0" applyProtection="0"/>
    <xf numFmtId="171" fontId="39" fillId="0" borderId="0"/>
    <xf numFmtId="172" fontId="2" fillId="0" borderId="0" applyFont="0" applyFill="0" applyBorder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2" fillId="0" borderId="0"/>
    <xf numFmtId="0" fontId="2" fillId="0" borderId="0"/>
  </cellStyleXfs>
  <cellXfs count="816">
    <xf numFmtId="0" fontId="0" fillId="0" borderId="0" xfId="0"/>
    <xf numFmtId="4" fontId="0" fillId="0" borderId="0" xfId="0" applyNumberFormat="1" applyAlignment="1">
      <alignment horizontal="center"/>
    </xf>
    <xf numFmtId="4" fontId="0" fillId="0" borderId="0" xfId="0" applyNumberFormat="1"/>
    <xf numFmtId="0" fontId="6" fillId="0" borderId="0" xfId="0" applyFont="1"/>
    <xf numFmtId="0" fontId="0" fillId="0" borderId="0" xfId="0" applyAlignment="1">
      <alignment horizontal="centerContinuous"/>
    </xf>
    <xf numFmtId="0" fontId="9" fillId="0" borderId="0" xfId="0" applyFont="1" applyAlignment="1">
      <alignment horizontal="centerContinuous"/>
    </xf>
    <xf numFmtId="0" fontId="0" fillId="0" borderId="3" xfId="0" applyBorder="1"/>
    <xf numFmtId="0" fontId="0" fillId="0" borderId="3" xfId="0" applyBorder="1" applyAlignment="1">
      <alignment horizontal="center"/>
    </xf>
    <xf numFmtId="0" fontId="10" fillId="0" borderId="0" xfId="0" applyFont="1" applyAlignment="1">
      <alignment horizontal="centerContinuous"/>
    </xf>
    <xf numFmtId="0" fontId="2" fillId="0" borderId="0" xfId="0" applyFont="1"/>
    <xf numFmtId="0" fontId="2" fillId="0" borderId="4" xfId="0" applyFont="1" applyBorder="1" applyAlignment="1">
      <alignment vertical="center"/>
    </xf>
    <xf numFmtId="4" fontId="2" fillId="0" borderId="0" xfId="0" applyNumberFormat="1" applyFont="1"/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14" fillId="0" borderId="0" xfId="0" applyFont="1"/>
    <xf numFmtId="0" fontId="12" fillId="0" borderId="0" xfId="0" applyFont="1" applyAlignment="1">
      <alignment horizontal="left"/>
    </xf>
    <xf numFmtId="4" fontId="2" fillId="0" borderId="0" xfId="0" applyNumberFormat="1" applyFont="1" applyAlignment="1">
      <alignment vertical="center"/>
    </xf>
    <xf numFmtId="0" fontId="7" fillId="0" borderId="0" xfId="0" applyFont="1" applyAlignment="1">
      <alignment horizontal="centerContinuous"/>
    </xf>
    <xf numFmtId="0" fontId="7" fillId="0" borderId="0" xfId="0" applyFont="1"/>
    <xf numFmtId="4" fontId="0" fillId="0" borderId="0" xfId="0" applyNumberFormat="1" applyAlignment="1">
      <alignment horizontal="right"/>
    </xf>
    <xf numFmtId="4" fontId="7" fillId="0" borderId="9" xfId="0" applyNumberFormat="1" applyFont="1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left" indent="1"/>
    </xf>
    <xf numFmtId="4" fontId="0" fillId="0" borderId="13" xfId="0" applyNumberFormat="1" applyBorder="1"/>
    <xf numFmtId="4" fontId="0" fillId="0" borderId="13" xfId="0" applyNumberFormat="1" applyBorder="1" applyAlignment="1">
      <alignment horizontal="center"/>
    </xf>
    <xf numFmtId="4" fontId="0" fillId="0" borderId="12" xfId="0" applyNumberFormat="1" applyBorder="1" applyAlignment="1">
      <alignment horizontal="right"/>
    </xf>
    <xf numFmtId="4" fontId="0" fillId="0" borderId="14" xfId="0" applyNumberFormat="1" applyBorder="1" applyAlignment="1">
      <alignment horizontal="right"/>
    </xf>
    <xf numFmtId="4" fontId="0" fillId="0" borderId="14" xfId="0" applyNumberFormat="1" applyBorder="1"/>
    <xf numFmtId="0" fontId="21" fillId="0" borderId="0" xfId="0" applyFont="1" applyAlignment="1">
      <alignment horizontal="centerContinuous"/>
    </xf>
    <xf numFmtId="0" fontId="0" fillId="0" borderId="9" xfId="0" applyBorder="1"/>
    <xf numFmtId="0" fontId="0" fillId="0" borderId="0" xfId="0" applyAlignment="1">
      <alignment vertical="center"/>
    </xf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2" fontId="24" fillId="0" borderId="15" xfId="0" applyNumberFormat="1" applyFont="1" applyBorder="1" applyAlignment="1">
      <alignment horizontal="center" vertical="center"/>
    </xf>
    <xf numFmtId="167" fontId="24" fillId="0" borderId="0" xfId="2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4" fontId="24" fillId="0" borderId="14" xfId="2" applyNumberFormat="1" applyFont="1" applyBorder="1" applyAlignment="1">
      <alignment horizontal="center" vertical="center"/>
    </xf>
    <xf numFmtId="2" fontId="24" fillId="0" borderId="0" xfId="0" applyNumberFormat="1" applyFont="1" applyAlignment="1">
      <alignment vertical="center"/>
    </xf>
    <xf numFmtId="167" fontId="24" fillId="0" borderId="15" xfId="2" applyNumberFormat="1" applyFont="1" applyBorder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26" fillId="0" borderId="0" xfId="0" applyFont="1"/>
    <xf numFmtId="0" fontId="19" fillId="0" borderId="0" xfId="0" applyFont="1"/>
    <xf numFmtId="0" fontId="24" fillId="0" borderId="0" xfId="0" applyFont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4" fontId="26" fillId="0" borderId="14" xfId="2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4" fillId="0" borderId="18" xfId="0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4" fontId="24" fillId="0" borderId="18" xfId="2" applyNumberFormat="1" applyFont="1" applyFill="1" applyBorder="1" applyAlignment="1">
      <alignment horizontal="center" vertical="center"/>
    </xf>
    <xf numFmtId="2" fontId="12" fillId="0" borderId="0" xfId="0" applyNumberFormat="1" applyFont="1" applyAlignment="1">
      <alignment horizontal="left"/>
    </xf>
    <xf numFmtId="4" fontId="0" fillId="0" borderId="1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18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164" fontId="3" fillId="0" borderId="14" xfId="2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/>
    </xf>
    <xf numFmtId="164" fontId="2" fillId="0" borderId="14" xfId="2" applyNumberFormat="1" applyFont="1" applyBorder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0" borderId="8" xfId="2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1"/>
    <xf numFmtId="2" fontId="2" fillId="0" borderId="0" xfId="1" applyNumberFormat="1" applyAlignment="1">
      <alignment horizontal="center"/>
    </xf>
    <xf numFmtId="0" fontId="7" fillId="0" borderId="26" xfId="0" applyFont="1" applyBorder="1" applyAlignment="1">
      <alignment horizontal="left" vertical="center" indent="1"/>
    </xf>
    <xf numFmtId="4" fontId="7" fillId="0" borderId="19" xfId="0" applyNumberFormat="1" applyFont="1" applyBorder="1" applyAlignment="1">
      <alignment horizontal="center" vertical="center"/>
    </xf>
    <xf numFmtId="0" fontId="34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Continuous"/>
    </xf>
    <xf numFmtId="0" fontId="7" fillId="2" borderId="6" xfId="1" applyFont="1" applyFill="1" applyBorder="1" applyAlignment="1">
      <alignment horizontal="centerContinuous"/>
    </xf>
    <xf numFmtId="0" fontId="7" fillId="2" borderId="2" xfId="1" applyFont="1" applyFill="1" applyBorder="1" applyAlignment="1">
      <alignment horizontal="centerContinuous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14" xfId="0" applyFont="1" applyFill="1" applyBorder="1"/>
    <xf numFmtId="0" fontId="2" fillId="0" borderId="18" xfId="0" applyFont="1" applyBorder="1"/>
    <xf numFmtId="0" fontId="2" fillId="0" borderId="14" xfId="0" applyFont="1" applyBorder="1" applyAlignment="1">
      <alignment horizontal="center"/>
    </xf>
    <xf numFmtId="0" fontId="3" fillId="0" borderId="0" xfId="0" applyFont="1"/>
    <xf numFmtId="0" fontId="3" fillId="2" borderId="14" xfId="0" applyFont="1" applyFill="1" applyBorder="1"/>
    <xf numFmtId="4" fontId="3" fillId="0" borderId="0" xfId="0" applyNumberFormat="1" applyFont="1" applyAlignment="1">
      <alignment horizontal="center"/>
    </xf>
    <xf numFmtId="4" fontId="3" fillId="0" borderId="18" xfId="0" applyNumberFormat="1" applyFont="1" applyBorder="1" applyAlignment="1">
      <alignment horizontal="center"/>
    </xf>
    <xf numFmtId="4" fontId="3" fillId="0" borderId="0" xfId="0" applyNumberFormat="1" applyFont="1"/>
    <xf numFmtId="164" fontId="3" fillId="0" borderId="14" xfId="2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2" borderId="14" xfId="0" applyFont="1" applyFill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2" borderId="14" xfId="0" applyNumberFormat="1" applyFont="1" applyFill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4" fontId="2" fillId="0" borderId="18" xfId="1" applyNumberFormat="1" applyBorder="1" applyAlignment="1">
      <alignment horizontal="center"/>
    </xf>
    <xf numFmtId="164" fontId="2" fillId="0" borderId="14" xfId="2" applyNumberFormat="1" applyFont="1" applyBorder="1" applyAlignment="1">
      <alignment horizontal="center"/>
    </xf>
    <xf numFmtId="170" fontId="18" fillId="3" borderId="0" xfId="1" applyNumberFormat="1" applyFont="1" applyFill="1" applyAlignment="1">
      <alignment horizontal="center"/>
    </xf>
    <xf numFmtId="0" fontId="2" fillId="0" borderId="0" xfId="0" applyFont="1" applyAlignment="1">
      <alignment horizontal="left" indent="1"/>
    </xf>
    <xf numFmtId="4" fontId="2" fillId="2" borderId="14" xfId="0" applyNumberFormat="1" applyFont="1" applyFill="1" applyBorder="1"/>
    <xf numFmtId="0" fontId="2" fillId="0" borderId="18" xfId="0" applyFont="1" applyBorder="1" applyAlignment="1">
      <alignment horizontal="center"/>
    </xf>
    <xf numFmtId="4" fontId="3" fillId="2" borderId="14" xfId="0" applyNumberFormat="1" applyFont="1" applyFill="1" applyBorder="1"/>
    <xf numFmtId="3" fontId="2" fillId="0" borderId="0" xfId="0" applyNumberFormat="1" applyFont="1" applyAlignment="1">
      <alignment horizontal="center"/>
    </xf>
    <xf numFmtId="0" fontId="2" fillId="2" borderId="8" xfId="0" applyFont="1" applyFill="1" applyBorder="1"/>
    <xf numFmtId="4" fontId="2" fillId="2" borderId="8" xfId="0" applyNumberFormat="1" applyFont="1" applyFill="1" applyBorder="1"/>
    <xf numFmtId="0" fontId="2" fillId="0" borderId="27" xfId="0" applyFont="1" applyBorder="1" applyAlignment="1">
      <alignment horizontal="center"/>
    </xf>
    <xf numFmtId="164" fontId="2" fillId="0" borderId="8" xfId="2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 indent="1"/>
    </xf>
    <xf numFmtId="0" fontId="7" fillId="2" borderId="6" xfId="0" applyFont="1" applyFill="1" applyBorder="1" applyAlignment="1">
      <alignment horizontal="left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horizontal="center" vertical="center"/>
    </xf>
    <xf numFmtId="164" fontId="7" fillId="2" borderId="10" xfId="2" applyNumberFormat="1" applyFont="1" applyFill="1" applyBorder="1" applyAlignment="1">
      <alignment horizontal="center" vertical="center"/>
    </xf>
    <xf numFmtId="0" fontId="2" fillId="2" borderId="7" xfId="0" applyFont="1" applyFill="1" applyBorder="1"/>
    <xf numFmtId="4" fontId="2" fillId="2" borderId="7" xfId="0" applyNumberFormat="1" applyFont="1" applyFill="1" applyBorder="1"/>
    <xf numFmtId="0" fontId="2" fillId="0" borderId="28" xfId="0" applyFont="1" applyBorder="1" applyAlignment="1">
      <alignment horizontal="center"/>
    </xf>
    <xf numFmtId="164" fontId="2" fillId="0" borderId="7" xfId="2" applyNumberFormat="1" applyFont="1" applyBorder="1" applyAlignment="1">
      <alignment horizontal="center"/>
    </xf>
    <xf numFmtId="4" fontId="3" fillId="0" borderId="18" xfId="1" applyNumberFormat="1" applyFont="1" applyBorder="1" applyAlignment="1">
      <alignment horizontal="center"/>
    </xf>
    <xf numFmtId="0" fontId="15" fillId="0" borderId="0" xfId="0" applyFont="1"/>
    <xf numFmtId="4" fontId="2" fillId="0" borderId="0" xfId="1" applyNumberFormat="1"/>
    <xf numFmtId="0" fontId="7" fillId="2" borderId="1" xfId="0" applyFont="1" applyFill="1" applyBorder="1" applyAlignment="1">
      <alignment horizontal="centerContinuous" vertical="center"/>
    </xf>
    <xf numFmtId="0" fontId="7" fillId="2" borderId="6" xfId="0" applyFont="1" applyFill="1" applyBorder="1" applyAlignment="1">
      <alignment horizontal="centerContinuous" vertical="center"/>
    </xf>
    <xf numFmtId="4" fontId="7" fillId="2" borderId="2" xfId="0" applyNumberFormat="1" applyFont="1" applyFill="1" applyBorder="1" applyAlignment="1">
      <alignment horizontal="centerContinuous" vertical="center"/>
    </xf>
    <xf numFmtId="4" fontId="7" fillId="2" borderId="1" xfId="0" applyNumberFormat="1" applyFont="1" applyFill="1" applyBorder="1" applyAlignment="1">
      <alignment vertical="center"/>
    </xf>
    <xf numFmtId="0" fontId="12" fillId="0" borderId="0" xfId="0" applyFont="1"/>
    <xf numFmtId="166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0" fontId="2" fillId="0" borderId="29" xfId="0" applyFont="1" applyBorder="1" applyAlignment="1">
      <alignment vertical="center"/>
    </xf>
    <xf numFmtId="4" fontId="2" fillId="0" borderId="30" xfId="0" applyNumberFormat="1" applyFont="1" applyBorder="1" applyAlignment="1">
      <alignment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29" xfId="0" applyNumberFormat="1" applyFont="1" applyBorder="1" applyAlignment="1">
      <alignment horizontal="center" vertical="center"/>
    </xf>
    <xf numFmtId="164" fontId="2" fillId="0" borderId="31" xfId="2" applyNumberFormat="1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4" fontId="2" fillId="0" borderId="33" xfId="0" applyNumberFormat="1" applyFont="1" applyBorder="1" applyAlignment="1">
      <alignment vertical="center"/>
    </xf>
    <xf numFmtId="4" fontId="2" fillId="0" borderId="33" xfId="0" applyNumberFormat="1" applyFont="1" applyBorder="1" applyAlignment="1">
      <alignment horizontal="center" vertical="center"/>
    </xf>
    <xf numFmtId="4" fontId="2" fillId="0" borderId="32" xfId="0" applyNumberFormat="1" applyFont="1" applyBorder="1" applyAlignment="1">
      <alignment horizontal="center" vertical="center"/>
    </xf>
    <xf numFmtId="164" fontId="2" fillId="0" borderId="34" xfId="2" applyNumberFormat="1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165" fontId="2" fillId="0" borderId="36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/>
    </xf>
    <xf numFmtId="4" fontId="2" fillId="0" borderId="36" xfId="0" applyNumberFormat="1" applyFont="1" applyBorder="1" applyAlignment="1">
      <alignment horizontal="center" vertical="center"/>
    </xf>
    <xf numFmtId="4" fontId="2" fillId="0" borderId="35" xfId="0" applyNumberFormat="1" applyFont="1" applyBorder="1" applyAlignment="1">
      <alignment horizontal="center" vertical="center"/>
    </xf>
    <xf numFmtId="164" fontId="2" fillId="0" borderId="37" xfId="2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6" xfId="0" applyBorder="1" applyAlignment="1">
      <alignment vertical="center"/>
    </xf>
    <xf numFmtId="9" fontId="0" fillId="0" borderId="6" xfId="2" applyFont="1" applyBorder="1" applyAlignment="1">
      <alignment horizontal="center" vertical="center"/>
    </xf>
    <xf numFmtId="9" fontId="0" fillId="0" borderId="2" xfId="2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37" fillId="0" borderId="59" xfId="0" applyFont="1" applyBorder="1" applyAlignment="1">
      <alignment horizontal="center" vertical="center"/>
    </xf>
    <xf numFmtId="0" fontId="2" fillId="0" borderId="60" xfId="0" applyFont="1" applyBorder="1"/>
    <xf numFmtId="9" fontId="0" fillId="0" borderId="61" xfId="2" applyFont="1" applyBorder="1" applyAlignment="1">
      <alignment horizontal="center"/>
    </xf>
    <xf numFmtId="0" fontId="2" fillId="0" borderId="62" xfId="0" applyFont="1" applyBorder="1"/>
    <xf numFmtId="9" fontId="0" fillId="0" borderId="63" xfId="2" applyFont="1" applyBorder="1" applyAlignment="1">
      <alignment horizontal="center"/>
    </xf>
    <xf numFmtId="0" fontId="37" fillId="0" borderId="15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37" fillId="0" borderId="64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38" fillId="4" borderId="1" xfId="0" applyFont="1" applyFill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58" xfId="0" applyNumberFormat="1" applyBorder="1" applyAlignment="1">
      <alignment horizontal="center" vertical="center"/>
    </xf>
    <xf numFmtId="3" fontId="38" fillId="4" borderId="6" xfId="0" applyNumberFormat="1" applyFont="1" applyFill="1" applyBorder="1" applyAlignment="1">
      <alignment horizontal="center" vertical="center"/>
    </xf>
    <xf numFmtId="3" fontId="38" fillId="4" borderId="66" xfId="0" applyNumberFormat="1" applyFont="1" applyFill="1" applyBorder="1" applyAlignment="1">
      <alignment horizontal="center" vertical="center"/>
    </xf>
    <xf numFmtId="3" fontId="38" fillId="4" borderId="2" xfId="0" applyNumberFormat="1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Continuous" vertical="center"/>
    </xf>
    <xf numFmtId="0" fontId="38" fillId="4" borderId="6" xfId="0" applyFont="1" applyFill="1" applyBorder="1" applyAlignment="1">
      <alignment horizontal="centerContinuous" vertical="center"/>
    </xf>
    <xf numFmtId="0" fontId="38" fillId="4" borderId="2" xfId="0" applyFont="1" applyFill="1" applyBorder="1" applyAlignment="1">
      <alignment horizontal="centerContinuous" vertical="center"/>
    </xf>
    <xf numFmtId="0" fontId="0" fillId="0" borderId="49" xfId="0" applyBorder="1" applyAlignment="1">
      <alignment vertical="center"/>
    </xf>
    <xf numFmtId="3" fontId="0" fillId="0" borderId="9" xfId="0" applyNumberFormat="1" applyBorder="1" applyAlignment="1">
      <alignment horizontal="center" vertical="center"/>
    </xf>
    <xf numFmtId="3" fontId="0" fillId="0" borderId="57" xfId="0" applyNumberFormat="1" applyBorder="1" applyAlignment="1">
      <alignment horizontal="center" vertical="center"/>
    </xf>
    <xf numFmtId="3" fontId="0" fillId="0" borderId="67" xfId="0" applyNumberFormat="1" applyBorder="1" applyAlignment="1">
      <alignment horizontal="center" vertical="center"/>
    </xf>
    <xf numFmtId="0" fontId="0" fillId="0" borderId="50" xfId="0" applyBorder="1" applyAlignment="1">
      <alignment vertical="center"/>
    </xf>
    <xf numFmtId="3" fontId="0" fillId="0" borderId="68" xfId="0" applyNumberFormat="1" applyBorder="1" applyAlignment="1">
      <alignment horizontal="center" vertical="center"/>
    </xf>
    <xf numFmtId="0" fontId="0" fillId="0" borderId="51" xfId="0" applyBorder="1" applyAlignment="1">
      <alignment vertical="center"/>
    </xf>
    <xf numFmtId="3" fontId="0" fillId="0" borderId="69" xfId="0" applyNumberFormat="1" applyBorder="1" applyAlignment="1">
      <alignment horizontal="center" vertical="center"/>
    </xf>
    <xf numFmtId="0" fontId="38" fillId="5" borderId="1" xfId="0" applyFont="1" applyFill="1" applyBorder="1" applyAlignment="1">
      <alignment vertical="center"/>
    </xf>
    <xf numFmtId="3" fontId="38" fillId="5" borderId="70" xfId="0" applyNumberFormat="1" applyFont="1" applyFill="1" applyBorder="1" applyAlignment="1">
      <alignment horizontal="center" vertical="center"/>
    </xf>
    <xf numFmtId="3" fontId="38" fillId="5" borderId="66" xfId="0" applyNumberFormat="1" applyFont="1" applyFill="1" applyBorder="1" applyAlignment="1">
      <alignment horizontal="center" vertical="center"/>
    </xf>
    <xf numFmtId="3" fontId="38" fillId="5" borderId="2" xfId="0" applyNumberFormat="1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3" fontId="38" fillId="5" borderId="10" xfId="0" applyNumberFormat="1" applyFont="1" applyFill="1" applyBorder="1" applyAlignment="1">
      <alignment horizontal="center" vertical="center"/>
    </xf>
    <xf numFmtId="0" fontId="37" fillId="6" borderId="15" xfId="0" applyFont="1" applyFill="1" applyBorder="1" applyAlignment="1">
      <alignment horizontal="center" vertical="center"/>
    </xf>
    <xf numFmtId="4" fontId="40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5" xfId="0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9" xfId="0" applyFont="1" applyBorder="1" applyAlignment="1">
      <alignment horizontal="left" indent="1"/>
    </xf>
    <xf numFmtId="4" fontId="11" fillId="0" borderId="0" xfId="0" applyNumberFormat="1" applyFont="1" applyAlignment="1">
      <alignment horizontal="left"/>
    </xf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right" vertical="center" indent="1"/>
    </xf>
    <xf numFmtId="0" fontId="43" fillId="0" borderId="0" xfId="0" applyFont="1" applyAlignment="1">
      <alignment vertical="center"/>
    </xf>
    <xf numFmtId="3" fontId="43" fillId="0" borderId="0" xfId="0" applyNumberFormat="1" applyFont="1" applyAlignment="1">
      <alignment horizontal="center" vertical="center"/>
    </xf>
    <xf numFmtId="164" fontId="43" fillId="0" borderId="0" xfId="2" applyNumberFormat="1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3" fillId="8" borderId="0" xfId="0" applyFont="1" applyFill="1" applyAlignment="1">
      <alignment vertical="center"/>
    </xf>
    <xf numFmtId="3" fontId="43" fillId="8" borderId="0" xfId="0" applyNumberFormat="1" applyFont="1" applyFill="1" applyAlignment="1">
      <alignment horizontal="center" vertical="center"/>
    </xf>
    <xf numFmtId="164" fontId="43" fillId="8" borderId="0" xfId="2" applyNumberFormat="1" applyFont="1" applyFill="1" applyAlignment="1">
      <alignment horizontal="center" vertical="center"/>
    </xf>
    <xf numFmtId="0" fontId="43" fillId="10" borderId="0" xfId="0" applyFont="1" applyFill="1" applyAlignment="1">
      <alignment horizontal="left" vertical="center" indent="1"/>
    </xf>
    <xf numFmtId="3" fontId="43" fillId="10" borderId="0" xfId="0" applyNumberFormat="1" applyFont="1" applyFill="1" applyAlignment="1">
      <alignment horizontal="center" vertical="center"/>
    </xf>
    <xf numFmtId="164" fontId="43" fillId="10" borderId="0" xfId="2" applyNumberFormat="1" applyFont="1" applyFill="1" applyAlignment="1">
      <alignment horizontal="center" vertical="center"/>
    </xf>
    <xf numFmtId="0" fontId="44" fillId="0" borderId="10" xfId="0" applyFont="1" applyBorder="1" applyAlignment="1">
      <alignment horizontal="centerContinuous"/>
    </xf>
    <xf numFmtId="165" fontId="44" fillId="0" borderId="10" xfId="0" applyNumberFormat="1" applyFont="1" applyBorder="1" applyAlignment="1">
      <alignment horizontal="centerContinuous"/>
    </xf>
    <xf numFmtId="0" fontId="45" fillId="4" borderId="49" xfId="0" applyFont="1" applyFill="1" applyBorder="1" applyAlignment="1">
      <alignment horizontal="centerContinuous"/>
    </xf>
    <xf numFmtId="0" fontId="45" fillId="4" borderId="67" xfId="0" applyFont="1" applyFill="1" applyBorder="1" applyAlignment="1">
      <alignment horizontal="centerContinuous"/>
    </xf>
    <xf numFmtId="0" fontId="45" fillId="4" borderId="51" xfId="0" applyFont="1" applyFill="1" applyBorder="1" applyAlignment="1">
      <alignment horizontal="centerContinuous"/>
    </xf>
    <xf numFmtId="0" fontId="45" fillId="4" borderId="69" xfId="0" applyFont="1" applyFill="1" applyBorder="1" applyAlignment="1">
      <alignment horizontal="centerContinuous"/>
    </xf>
    <xf numFmtId="0" fontId="45" fillId="9" borderId="10" xfId="0" applyFont="1" applyFill="1" applyBorder="1" applyAlignment="1">
      <alignment vertical="center"/>
    </xf>
    <xf numFmtId="0" fontId="45" fillId="9" borderId="1" xfId="0" applyFont="1" applyFill="1" applyBorder="1" applyAlignment="1">
      <alignment horizontal="center" vertical="center"/>
    </xf>
    <xf numFmtId="0" fontId="45" fillId="9" borderId="2" xfId="0" applyFont="1" applyFill="1" applyBorder="1" applyAlignment="1">
      <alignment horizontal="center" vertical="center"/>
    </xf>
    <xf numFmtId="3" fontId="45" fillId="9" borderId="1" xfId="0" applyNumberFormat="1" applyFont="1" applyFill="1" applyBorder="1" applyAlignment="1">
      <alignment horizontal="center" vertical="center"/>
    </xf>
    <xf numFmtId="164" fontId="45" fillId="9" borderId="2" xfId="2" applyNumberFormat="1" applyFont="1" applyFill="1" applyBorder="1" applyAlignment="1">
      <alignment horizontal="center" vertical="center"/>
    </xf>
    <xf numFmtId="0" fontId="45" fillId="11" borderId="49" xfId="0" applyFont="1" applyFill="1" applyBorder="1" applyAlignment="1">
      <alignment horizontal="centerContinuous"/>
    </xf>
    <xf numFmtId="0" fontId="45" fillId="11" borderId="67" xfId="0" applyFont="1" applyFill="1" applyBorder="1" applyAlignment="1">
      <alignment horizontal="centerContinuous"/>
    </xf>
    <xf numFmtId="0" fontId="45" fillId="11" borderId="51" xfId="0" applyFont="1" applyFill="1" applyBorder="1" applyAlignment="1">
      <alignment horizontal="centerContinuous"/>
    </xf>
    <xf numFmtId="0" fontId="45" fillId="11" borderId="69" xfId="0" applyFont="1" applyFill="1" applyBorder="1" applyAlignment="1">
      <alignment horizontal="centerContinuous"/>
    </xf>
    <xf numFmtId="164" fontId="45" fillId="9" borderId="0" xfId="2" applyNumberFormat="1" applyFont="1" applyFill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4" fontId="0" fillId="0" borderId="71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166" fontId="38" fillId="12" borderId="1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0" fontId="48" fillId="0" borderId="0" xfId="0" applyFont="1" applyAlignment="1">
      <alignment vertical="center"/>
    </xf>
    <xf numFmtId="0" fontId="48" fillId="0" borderId="59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8" fillId="0" borderId="73" xfId="0" applyFont="1" applyBorder="1" applyAlignment="1">
      <alignment vertical="center"/>
    </xf>
    <xf numFmtId="0" fontId="48" fillId="0" borderId="0" xfId="0" applyFont="1" applyAlignment="1">
      <alignment horizontal="center" vertical="center"/>
    </xf>
    <xf numFmtId="164" fontId="48" fillId="0" borderId="59" xfId="2" applyNumberFormat="1" applyFont="1" applyBorder="1" applyAlignment="1">
      <alignment horizontal="center" vertical="center"/>
    </xf>
    <xf numFmtId="0" fontId="48" fillId="0" borderId="6" xfId="0" applyFont="1" applyBorder="1" applyAlignment="1">
      <alignment horizontal="centerContinuous" vertical="center"/>
    </xf>
    <xf numFmtId="0" fontId="48" fillId="0" borderId="2" xfId="0" applyFont="1" applyBorder="1" applyAlignment="1">
      <alignment horizontal="centerContinuous" vertical="center"/>
    </xf>
    <xf numFmtId="0" fontId="50" fillId="0" borderId="1" xfId="0" applyFont="1" applyBorder="1" applyAlignment="1">
      <alignment horizontal="centerContinuous" vertical="center"/>
    </xf>
    <xf numFmtId="0" fontId="50" fillId="0" borderId="6" xfId="0" applyFont="1" applyBorder="1" applyAlignment="1">
      <alignment horizontal="centerContinuous" vertical="center"/>
    </xf>
    <xf numFmtId="0" fontId="50" fillId="0" borderId="2" xfId="0" applyFont="1" applyBorder="1" applyAlignment="1">
      <alignment horizontal="centerContinuous" vertical="center"/>
    </xf>
    <xf numFmtId="0" fontId="48" fillId="0" borderId="65" xfId="0" quotePrefix="1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74" xfId="0" quotePrefix="1" applyFont="1" applyBorder="1" applyAlignment="1">
      <alignment horizontal="center" vertical="center"/>
    </xf>
    <xf numFmtId="0" fontId="48" fillId="0" borderId="10" xfId="0" applyFont="1" applyBorder="1" applyAlignment="1">
      <alignment vertical="center"/>
    </xf>
    <xf numFmtId="0" fontId="48" fillId="0" borderId="65" xfId="0" applyFont="1" applyBorder="1" applyAlignment="1">
      <alignment horizontal="center" vertical="center"/>
    </xf>
    <xf numFmtId="0" fontId="48" fillId="0" borderId="59" xfId="0" applyFont="1" applyBorder="1" applyAlignment="1">
      <alignment horizontal="center" vertical="center"/>
    </xf>
    <xf numFmtId="0" fontId="48" fillId="0" borderId="72" xfId="0" applyFont="1" applyBorder="1" applyAlignment="1">
      <alignment horizontal="center" vertical="center"/>
    </xf>
    <xf numFmtId="0" fontId="48" fillId="0" borderId="64" xfId="0" applyFont="1" applyBorder="1" applyAlignment="1">
      <alignment horizontal="center" vertical="center"/>
    </xf>
    <xf numFmtId="0" fontId="50" fillId="0" borderId="59" xfId="0" applyFont="1" applyBorder="1" applyAlignment="1">
      <alignment vertical="center"/>
    </xf>
    <xf numFmtId="2" fontId="50" fillId="0" borderId="59" xfId="0" applyNumberFormat="1" applyFont="1" applyBorder="1" applyAlignment="1">
      <alignment horizontal="center" vertical="center"/>
    </xf>
    <xf numFmtId="165" fontId="48" fillId="0" borderId="59" xfId="0" applyNumberFormat="1" applyFont="1" applyBorder="1" applyAlignment="1">
      <alignment horizontal="center" vertical="center"/>
    </xf>
    <xf numFmtId="2" fontId="51" fillId="0" borderId="59" xfId="0" applyNumberFormat="1" applyFont="1" applyBorder="1" applyAlignment="1">
      <alignment horizontal="center" vertical="center"/>
    </xf>
    <xf numFmtId="165" fontId="50" fillId="0" borderId="59" xfId="0" applyNumberFormat="1" applyFont="1" applyBorder="1" applyAlignment="1">
      <alignment horizontal="center" vertical="center"/>
    </xf>
    <xf numFmtId="0" fontId="50" fillId="0" borderId="59" xfId="0" applyFont="1" applyBorder="1" applyAlignment="1">
      <alignment horizontal="center" vertical="center"/>
    </xf>
    <xf numFmtId="0" fontId="48" fillId="0" borderId="73" xfId="0" applyFont="1" applyBorder="1" applyAlignment="1">
      <alignment horizontal="center" vertical="center"/>
    </xf>
    <xf numFmtId="165" fontId="50" fillId="13" borderId="59" xfId="0" applyNumberFormat="1" applyFont="1" applyFill="1" applyBorder="1" applyAlignment="1">
      <alignment horizontal="center" vertical="center"/>
    </xf>
    <xf numFmtId="3" fontId="50" fillId="0" borderId="59" xfId="0" applyNumberFormat="1" applyFont="1" applyBorder="1" applyAlignment="1">
      <alignment horizontal="center" vertical="center"/>
    </xf>
    <xf numFmtId="0" fontId="50" fillId="0" borderId="73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48" fillId="0" borderId="5" xfId="0" quotePrefix="1" applyFont="1" applyBorder="1" applyAlignment="1">
      <alignment horizontal="center" vertical="center"/>
    </xf>
    <xf numFmtId="2" fontId="50" fillId="0" borderId="29" xfId="0" applyNumberFormat="1" applyFont="1" applyBorder="1" applyAlignment="1">
      <alignment horizontal="center" vertical="center"/>
    </xf>
    <xf numFmtId="164" fontId="48" fillId="0" borderId="29" xfId="2" applyNumberFormat="1" applyFont="1" applyBorder="1" applyAlignment="1">
      <alignment horizontal="center" vertical="center"/>
    </xf>
    <xf numFmtId="0" fontId="48" fillId="0" borderId="10" xfId="0" quotePrefix="1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1" fontId="48" fillId="0" borderId="14" xfId="0" applyNumberFormat="1" applyFont="1" applyBorder="1" applyAlignment="1">
      <alignment horizontal="center" vertical="center"/>
    </xf>
    <xf numFmtId="2" fontId="50" fillId="0" borderId="31" xfId="0" applyNumberFormat="1" applyFont="1" applyBorder="1" applyAlignment="1">
      <alignment horizontal="center" vertical="center"/>
    </xf>
    <xf numFmtId="164" fontId="48" fillId="0" borderId="75" xfId="2" applyNumberFormat="1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2" fontId="48" fillId="0" borderId="14" xfId="0" applyNumberFormat="1" applyFont="1" applyBorder="1" applyAlignment="1">
      <alignment horizontal="center" vertical="center"/>
    </xf>
    <xf numFmtId="165" fontId="48" fillId="0" borderId="8" xfId="0" applyNumberFormat="1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165" fontId="48" fillId="0" borderId="64" xfId="0" applyNumberFormat="1" applyFont="1" applyBorder="1" applyAlignment="1">
      <alignment horizontal="center" vertical="center"/>
    </xf>
    <xf numFmtId="165" fontId="48" fillId="0" borderId="0" xfId="0" applyNumberFormat="1" applyFont="1" applyAlignment="1">
      <alignment horizontal="center" vertical="center"/>
    </xf>
    <xf numFmtId="0" fontId="50" fillId="0" borderId="15" xfId="0" applyFont="1" applyBorder="1" applyAlignment="1">
      <alignment horizontal="right" vertical="center"/>
    </xf>
    <xf numFmtId="0" fontId="50" fillId="0" borderId="1" xfId="0" applyFont="1" applyBorder="1" applyAlignment="1">
      <alignment vertical="center"/>
    </xf>
    <xf numFmtId="3" fontId="50" fillId="0" borderId="6" xfId="0" applyNumberFormat="1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168" fontId="50" fillId="0" borderId="6" xfId="0" applyNumberFormat="1" applyFont="1" applyBorder="1" applyAlignment="1">
      <alignment horizontal="center" vertical="center"/>
    </xf>
    <xf numFmtId="2" fontId="50" fillId="0" borderId="2" xfId="0" applyNumberFormat="1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0" fontId="49" fillId="9" borderId="59" xfId="0" applyFont="1" applyFill="1" applyBorder="1" applyAlignment="1">
      <alignment vertical="center"/>
    </xf>
    <xf numFmtId="0" fontId="48" fillId="0" borderId="3" xfId="0" applyFont="1" applyBorder="1" applyAlignment="1">
      <alignment vertical="center"/>
    </xf>
    <xf numFmtId="0" fontId="48" fillId="0" borderId="3" xfId="0" applyFont="1" applyBorder="1" applyAlignment="1">
      <alignment horizontal="center" vertical="center"/>
    </xf>
    <xf numFmtId="3" fontId="48" fillId="0" borderId="3" xfId="0" applyNumberFormat="1" applyFont="1" applyBorder="1" applyAlignment="1">
      <alignment horizontal="center" vertical="center"/>
    </xf>
    <xf numFmtId="0" fontId="48" fillId="0" borderId="49" xfId="0" applyFont="1" applyBorder="1" applyAlignment="1">
      <alignment vertical="center"/>
    </xf>
    <xf numFmtId="0" fontId="48" fillId="0" borderId="9" xfId="0" applyFont="1" applyBorder="1" applyAlignment="1">
      <alignment vertical="center"/>
    </xf>
    <xf numFmtId="0" fontId="48" fillId="0" borderId="67" xfId="0" applyFont="1" applyBorder="1" applyAlignment="1">
      <alignment vertical="center"/>
    </xf>
    <xf numFmtId="0" fontId="48" fillId="0" borderId="50" xfId="0" applyFont="1" applyBorder="1" applyAlignment="1">
      <alignment vertical="center"/>
    </xf>
    <xf numFmtId="0" fontId="48" fillId="0" borderId="68" xfId="0" applyFont="1" applyBorder="1" applyAlignment="1">
      <alignment vertical="center"/>
    </xf>
    <xf numFmtId="0" fontId="50" fillId="0" borderId="0" xfId="0" applyFont="1" applyAlignment="1">
      <alignment vertical="center"/>
    </xf>
    <xf numFmtId="0" fontId="48" fillId="0" borderId="51" xfId="0" applyFont="1" applyBorder="1" applyAlignment="1">
      <alignment vertical="center"/>
    </xf>
    <xf numFmtId="0" fontId="48" fillId="0" borderId="69" xfId="0" applyFont="1" applyBorder="1" applyAlignment="1">
      <alignment vertical="center"/>
    </xf>
    <xf numFmtId="0" fontId="56" fillId="0" borderId="8" xfId="0" applyFont="1" applyBorder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2" fontId="48" fillId="0" borderId="0" xfId="0" applyNumberFormat="1" applyFont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48" fillId="0" borderId="9" xfId="0" applyFont="1" applyBorder="1" applyAlignment="1">
      <alignment horizontal="center" vertical="center"/>
    </xf>
    <xf numFmtId="3" fontId="48" fillId="0" borderId="0" xfId="0" applyNumberFormat="1" applyFont="1" applyAlignment="1">
      <alignment horizontal="center" vertical="center"/>
    </xf>
    <xf numFmtId="168" fontId="48" fillId="0" borderId="0" xfId="0" applyNumberFormat="1" applyFont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168" fontId="48" fillId="0" borderId="30" xfId="0" applyNumberFormat="1" applyFont="1" applyBorder="1" applyAlignment="1">
      <alignment horizontal="center" vertical="center"/>
    </xf>
    <xf numFmtId="168" fontId="48" fillId="0" borderId="73" xfId="0" applyNumberFormat="1" applyFont="1" applyBorder="1" applyAlignment="1">
      <alignment horizontal="center" vertical="center"/>
    </xf>
    <xf numFmtId="0" fontId="48" fillId="0" borderId="36" xfId="0" applyFont="1" applyBorder="1" applyAlignment="1">
      <alignment vertical="center"/>
    </xf>
    <xf numFmtId="2" fontId="48" fillId="0" borderId="36" xfId="0" applyNumberFormat="1" applyFont="1" applyBorder="1" applyAlignment="1">
      <alignment horizontal="center" vertical="center"/>
    </xf>
    <xf numFmtId="168" fontId="48" fillId="0" borderId="3" xfId="0" applyNumberFormat="1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165" fontId="48" fillId="0" borderId="0" xfId="0" applyNumberFormat="1" applyFont="1" applyAlignment="1">
      <alignment vertical="center"/>
    </xf>
    <xf numFmtId="0" fontId="59" fillId="0" borderId="0" xfId="0" applyFont="1" applyAlignment="1">
      <alignment horizontal="center" vertical="center"/>
    </xf>
    <xf numFmtId="1" fontId="59" fillId="0" borderId="0" xfId="0" applyNumberFormat="1" applyFont="1" applyAlignment="1">
      <alignment horizontal="center" vertical="center"/>
    </xf>
    <xf numFmtId="0" fontId="59" fillId="0" borderId="0" xfId="0" applyFont="1" applyAlignment="1">
      <alignment vertical="center"/>
    </xf>
    <xf numFmtId="168" fontId="2" fillId="0" borderId="30" xfId="0" applyNumberFormat="1" applyFont="1" applyBorder="1" applyAlignment="1">
      <alignment horizontal="center" vertical="center"/>
    </xf>
    <xf numFmtId="0" fontId="48" fillId="0" borderId="0" xfId="0" applyFont="1"/>
    <xf numFmtId="165" fontId="49" fillId="14" borderId="10" xfId="0" applyNumberFormat="1" applyFont="1" applyFill="1" applyBorder="1" applyAlignment="1">
      <alignment horizontal="center" vertical="center"/>
    </xf>
    <xf numFmtId="171" fontId="50" fillId="0" borderId="49" xfId="3" applyFont="1" applyBorder="1" applyAlignment="1">
      <alignment horizontal="centerContinuous" vertical="center"/>
    </xf>
    <xf numFmtId="171" fontId="50" fillId="0" borderId="67" xfId="3" applyFont="1" applyBorder="1" applyAlignment="1">
      <alignment horizontal="centerContinuous" vertical="center"/>
    </xf>
    <xf numFmtId="171" fontId="50" fillId="0" borderId="50" xfId="3" applyFont="1" applyBorder="1" applyAlignment="1">
      <alignment horizontal="centerContinuous" vertical="center"/>
    </xf>
    <xf numFmtId="171" fontId="50" fillId="0" borderId="68" xfId="3" applyFont="1" applyBorder="1" applyAlignment="1">
      <alignment horizontal="centerContinuous" vertical="center"/>
    </xf>
    <xf numFmtId="171" fontId="48" fillId="0" borderId="50" xfId="3" applyFont="1" applyBorder="1" applyAlignment="1">
      <alignment horizontal="center" vertical="center"/>
    </xf>
    <xf numFmtId="171" fontId="48" fillId="0" borderId="51" xfId="3" applyFont="1" applyBorder="1" applyAlignment="1">
      <alignment horizontal="center" vertical="center"/>
    </xf>
    <xf numFmtId="2" fontId="50" fillId="0" borderId="0" xfId="0" applyNumberFormat="1" applyFont="1" applyAlignment="1">
      <alignment horizontal="center" vertical="center"/>
    </xf>
    <xf numFmtId="2" fontId="50" fillId="0" borderId="6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168" fontId="50" fillId="0" borderId="10" xfId="0" applyNumberFormat="1" applyFont="1" applyBorder="1" applyAlignment="1">
      <alignment horizontal="center" vertical="center"/>
    </xf>
    <xf numFmtId="168" fontId="48" fillId="0" borderId="14" xfId="0" applyNumberFormat="1" applyFont="1" applyBorder="1" applyAlignment="1">
      <alignment horizontal="center" vertical="center"/>
    </xf>
    <xf numFmtId="168" fontId="48" fillId="0" borderId="31" xfId="0" applyNumberFormat="1" applyFont="1" applyBorder="1" applyAlignment="1">
      <alignment horizontal="center" vertical="center"/>
    </xf>
    <xf numFmtId="168" fontId="48" fillId="0" borderId="8" xfId="0" applyNumberFormat="1" applyFont="1" applyBorder="1" applyAlignment="1">
      <alignment horizontal="center" vertical="center"/>
    </xf>
    <xf numFmtId="0" fontId="48" fillId="0" borderId="6" xfId="0" applyFont="1" applyBorder="1" applyAlignment="1">
      <alignment vertical="center"/>
    </xf>
    <xf numFmtId="3" fontId="50" fillId="15" borderId="3" xfId="0" applyNumberFormat="1" applyFont="1" applyFill="1" applyBorder="1" applyAlignment="1">
      <alignment horizontal="center" vertical="center"/>
    </xf>
    <xf numFmtId="3" fontId="48" fillId="0" borderId="73" xfId="0" applyNumberFormat="1" applyFont="1" applyBorder="1" applyAlignment="1">
      <alignment horizontal="center" vertical="center"/>
    </xf>
    <xf numFmtId="168" fontId="50" fillId="0" borderId="3" xfId="0" applyNumberFormat="1" applyFont="1" applyBorder="1" applyAlignment="1">
      <alignment horizontal="center" vertical="center"/>
    </xf>
    <xf numFmtId="0" fontId="48" fillId="0" borderId="67" xfId="0" applyFont="1" applyBorder="1" applyAlignment="1">
      <alignment horizontal="center" vertical="center"/>
    </xf>
    <xf numFmtId="0" fontId="56" fillId="0" borderId="51" xfId="0" applyFont="1" applyBorder="1" applyAlignment="1">
      <alignment horizontal="centerContinuous" vertical="center"/>
    </xf>
    <xf numFmtId="0" fontId="48" fillId="0" borderId="69" xfId="0" applyFont="1" applyBorder="1" applyAlignment="1">
      <alignment horizontal="centerContinuous" vertical="center"/>
    </xf>
    <xf numFmtId="0" fontId="50" fillId="0" borderId="3" xfId="0" applyFont="1" applyBorder="1" applyAlignment="1">
      <alignment horizontal="left" vertical="center"/>
    </xf>
    <xf numFmtId="0" fontId="60" fillId="0" borderId="0" xfId="0" applyFont="1"/>
    <xf numFmtId="0" fontId="60" fillId="0" borderId="0" xfId="0" applyFont="1" applyAlignment="1">
      <alignment horizontal="center"/>
    </xf>
    <xf numFmtId="4" fontId="60" fillId="0" borderId="0" xfId="0" applyNumberFormat="1" applyFont="1" applyAlignment="1">
      <alignment horizontal="center"/>
    </xf>
    <xf numFmtId="164" fontId="60" fillId="0" borderId="0" xfId="2" applyNumberFormat="1" applyFont="1" applyAlignment="1">
      <alignment horizontal="center"/>
    </xf>
    <xf numFmtId="0" fontId="61" fillId="9" borderId="0" xfId="0" applyFont="1" applyFill="1" applyAlignment="1">
      <alignment vertical="center"/>
    </xf>
    <xf numFmtId="3" fontId="61" fillId="9" borderId="0" xfId="0" applyNumberFormat="1" applyFont="1" applyFill="1" applyAlignment="1">
      <alignment horizontal="center" vertical="center"/>
    </xf>
    <xf numFmtId="0" fontId="62" fillId="0" borderId="59" xfId="0" applyFont="1" applyBorder="1" applyAlignment="1">
      <alignment vertical="center"/>
    </xf>
    <xf numFmtId="3" fontId="62" fillId="0" borderId="59" xfId="0" applyNumberFormat="1" applyFont="1" applyBorder="1" applyAlignment="1">
      <alignment horizontal="center" vertical="center"/>
    </xf>
    <xf numFmtId="0" fontId="16" fillId="16" borderId="0" xfId="0" applyFont="1" applyFill="1" applyAlignment="1">
      <alignment horizontal="centerContinuous" vertical="center"/>
    </xf>
    <xf numFmtId="0" fontId="17" fillId="16" borderId="0" xfId="0" applyFont="1" applyFill="1" applyAlignment="1">
      <alignment horizontal="centerContinuous" vertical="center"/>
    </xf>
    <xf numFmtId="0" fontId="0" fillId="17" borderId="0" xfId="0" applyFill="1" applyAlignment="1">
      <alignment vertical="center"/>
    </xf>
    <xf numFmtId="165" fontId="0" fillId="17" borderId="0" xfId="0" applyNumberFormat="1" applyFill="1" applyAlignment="1">
      <alignment horizontal="center" vertical="center"/>
    </xf>
    <xf numFmtId="166" fontId="0" fillId="17" borderId="0" xfId="0" applyNumberFormat="1" applyFill="1" applyAlignment="1">
      <alignment horizontal="center" vertical="center"/>
    </xf>
    <xf numFmtId="3" fontId="0" fillId="17" borderId="0" xfId="0" applyNumberFormat="1" applyFill="1" applyAlignment="1">
      <alignment horizontal="center" vertical="center"/>
    </xf>
    <xf numFmtId="4" fontId="0" fillId="17" borderId="0" xfId="0" applyNumberFormat="1" applyFill="1" applyAlignment="1">
      <alignment horizontal="center" vertical="center"/>
    </xf>
    <xf numFmtId="10" fontId="0" fillId="17" borderId="0" xfId="2" applyNumberFormat="1" applyFont="1" applyFill="1" applyAlignment="1">
      <alignment horizontal="center" vertical="center"/>
    </xf>
    <xf numFmtId="0" fontId="0" fillId="17" borderId="1" xfId="0" applyFill="1" applyBorder="1" applyAlignment="1">
      <alignment vertical="center"/>
    </xf>
    <xf numFmtId="0" fontId="0" fillId="17" borderId="6" xfId="0" applyFill="1" applyBorder="1" applyAlignment="1">
      <alignment vertical="center"/>
    </xf>
    <xf numFmtId="2" fontId="0" fillId="17" borderId="2" xfId="0" applyNumberFormat="1" applyFill="1" applyBorder="1" applyAlignment="1">
      <alignment horizontal="center" vertical="center"/>
    </xf>
    <xf numFmtId="169" fontId="0" fillId="17" borderId="0" xfId="0" applyNumberFormat="1" applyFill="1" applyAlignment="1">
      <alignment horizontal="center" vertical="center"/>
    </xf>
    <xf numFmtId="164" fontId="0" fillId="17" borderId="0" xfId="0" applyNumberFormat="1" applyFill="1" applyAlignment="1">
      <alignment horizontal="center" vertical="center"/>
    </xf>
    <xf numFmtId="164" fontId="0" fillId="17" borderId="0" xfId="2" applyNumberFormat="1" applyFont="1" applyFill="1" applyAlignment="1">
      <alignment horizontal="center" vertical="center"/>
    </xf>
    <xf numFmtId="0" fontId="8" fillId="17" borderId="0" xfId="0" applyFont="1" applyFill="1" applyAlignment="1">
      <alignment vertical="center"/>
    </xf>
    <xf numFmtId="2" fontId="0" fillId="17" borderId="0" xfId="0" applyNumberFormat="1" applyFill="1" applyAlignment="1">
      <alignment horizontal="center" vertical="center"/>
    </xf>
    <xf numFmtId="0" fontId="0" fillId="17" borderId="0" xfId="0" applyFill="1" applyAlignment="1">
      <alignment horizontal="left" vertical="center" indent="1"/>
    </xf>
    <xf numFmtId="0" fontId="4" fillId="17" borderId="0" xfId="0" applyFont="1" applyFill="1" applyAlignment="1">
      <alignment vertical="center"/>
    </xf>
    <xf numFmtId="0" fontId="0" fillId="17" borderId="0" xfId="0" applyFill="1" applyAlignment="1">
      <alignment horizontal="left" vertical="center"/>
    </xf>
    <xf numFmtId="168" fontId="2" fillId="17" borderId="0" xfId="2" applyNumberFormat="1" applyFill="1" applyAlignment="1">
      <alignment horizontal="center" vertical="center"/>
    </xf>
    <xf numFmtId="168" fontId="2" fillId="17" borderId="0" xfId="2" applyNumberFormat="1" applyFont="1" applyFill="1" applyAlignment="1">
      <alignment horizontal="center" vertical="center"/>
    </xf>
    <xf numFmtId="2" fontId="0" fillId="17" borderId="0" xfId="0" applyNumberFormat="1" applyFill="1" applyAlignment="1">
      <alignment vertical="center"/>
    </xf>
    <xf numFmtId="0" fontId="0" fillId="17" borderId="10" xfId="0" applyFill="1" applyBorder="1" applyAlignment="1">
      <alignment horizontal="center" vertical="center"/>
    </xf>
    <xf numFmtId="4" fontId="0" fillId="17" borderId="0" xfId="0" applyNumberFormat="1" applyFill="1" applyAlignment="1">
      <alignment horizontal="right" vertical="center"/>
    </xf>
    <xf numFmtId="10" fontId="0" fillId="17" borderId="7" xfId="2" applyNumberFormat="1" applyFont="1" applyFill="1" applyBorder="1" applyAlignment="1">
      <alignment horizontal="center" vertical="center"/>
    </xf>
    <xf numFmtId="10" fontId="0" fillId="17" borderId="14" xfId="2" applyNumberFormat="1" applyFont="1" applyFill="1" applyBorder="1" applyAlignment="1">
      <alignment horizontal="center" vertical="center"/>
    </xf>
    <xf numFmtId="10" fontId="0" fillId="17" borderId="8" xfId="2" applyNumberFormat="1" applyFont="1" applyFill="1" applyBorder="1" applyAlignment="1">
      <alignment horizontal="center" vertical="center"/>
    </xf>
    <xf numFmtId="0" fontId="4" fillId="17" borderId="0" xfId="0" applyFont="1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167" fontId="0" fillId="17" borderId="0" xfId="0" applyNumberFormat="1" applyFill="1" applyAlignment="1">
      <alignment horizontal="center" vertical="center"/>
    </xf>
    <xf numFmtId="0" fontId="8" fillId="17" borderId="0" xfId="0" applyFont="1" applyFill="1" applyAlignment="1">
      <alignment horizontal="center" vertical="center"/>
    </xf>
    <xf numFmtId="4" fontId="2" fillId="17" borderId="0" xfId="0" applyNumberFormat="1" applyFont="1" applyFill="1" applyAlignment="1">
      <alignment vertical="center"/>
    </xf>
    <xf numFmtId="1" fontId="0" fillId="17" borderId="0" xfId="0" applyNumberFormat="1" applyFill="1" applyAlignment="1">
      <alignment horizontal="center" vertical="center"/>
    </xf>
    <xf numFmtId="0" fontId="49" fillId="16" borderId="29" xfId="0" applyFont="1" applyFill="1" applyBorder="1" applyAlignment="1">
      <alignment horizontal="center" vertical="center"/>
    </xf>
    <xf numFmtId="0" fontId="49" fillId="19" borderId="10" xfId="0" applyFont="1" applyFill="1" applyBorder="1" applyAlignment="1">
      <alignment vertical="center"/>
    </xf>
    <xf numFmtId="3" fontId="49" fillId="19" borderId="1" xfId="0" applyNumberFormat="1" applyFont="1" applyFill="1" applyBorder="1" applyAlignment="1">
      <alignment horizontal="center" vertical="center"/>
    </xf>
    <xf numFmtId="3" fontId="49" fillId="19" borderId="6" xfId="0" applyNumberFormat="1" applyFont="1" applyFill="1" applyBorder="1" applyAlignment="1">
      <alignment horizontal="center" vertical="center"/>
    </xf>
    <xf numFmtId="3" fontId="49" fillId="19" borderId="2" xfId="0" applyNumberFormat="1" applyFont="1" applyFill="1" applyBorder="1" applyAlignment="1">
      <alignment horizontal="center" vertical="center"/>
    </xf>
    <xf numFmtId="0" fontId="49" fillId="18" borderId="1" xfId="0" applyFont="1" applyFill="1" applyBorder="1" applyAlignment="1">
      <alignment horizontal="center" vertical="center"/>
    </xf>
    <xf numFmtId="0" fontId="49" fillId="18" borderId="6" xfId="0" applyFont="1" applyFill="1" applyBorder="1" applyAlignment="1">
      <alignment vertical="center"/>
    </xf>
    <xf numFmtId="0" fontId="49" fillId="18" borderId="2" xfId="0" applyFont="1" applyFill="1" applyBorder="1" applyAlignment="1">
      <alignment horizontal="center" vertical="center"/>
    </xf>
    <xf numFmtId="0" fontId="49" fillId="16" borderId="59" xfId="0" applyFont="1" applyFill="1" applyBorder="1" applyAlignment="1">
      <alignment vertical="center"/>
    </xf>
    <xf numFmtId="0" fontId="49" fillId="20" borderId="0" xfId="0" applyFont="1" applyFill="1" applyAlignment="1">
      <alignment vertical="center"/>
    </xf>
    <xf numFmtId="0" fontId="49" fillId="20" borderId="0" xfId="0" applyFont="1" applyFill="1" applyAlignment="1">
      <alignment horizontal="center" vertical="center"/>
    </xf>
    <xf numFmtId="2" fontId="50" fillId="17" borderId="29" xfId="0" applyNumberFormat="1" applyFont="1" applyFill="1" applyBorder="1" applyAlignment="1">
      <alignment horizontal="center" vertical="center"/>
    </xf>
    <xf numFmtId="2" fontId="50" fillId="17" borderId="59" xfId="0" applyNumberFormat="1" applyFont="1" applyFill="1" applyBorder="1" applyAlignment="1">
      <alignment horizontal="center" vertical="center"/>
    </xf>
    <xf numFmtId="2" fontId="50" fillId="17" borderId="31" xfId="0" applyNumberFormat="1" applyFont="1" applyFill="1" applyBorder="1" applyAlignment="1">
      <alignment horizontal="center" vertical="center"/>
    </xf>
    <xf numFmtId="0" fontId="38" fillId="16" borderId="7" xfId="0" applyFont="1" applyFill="1" applyBorder="1" applyAlignment="1">
      <alignment horizontal="center" vertical="center"/>
    </xf>
    <xf numFmtId="0" fontId="38" fillId="16" borderId="8" xfId="0" applyFont="1" applyFill="1" applyBorder="1" applyAlignment="1">
      <alignment horizontal="center" vertical="center"/>
    </xf>
    <xf numFmtId="0" fontId="38" fillId="16" borderId="1" xfId="0" applyFont="1" applyFill="1" applyBorder="1" applyAlignment="1">
      <alignment horizontal="centerContinuous" vertical="center"/>
    </xf>
    <xf numFmtId="0" fontId="38" fillId="16" borderId="6" xfId="0" applyFont="1" applyFill="1" applyBorder="1" applyAlignment="1">
      <alignment horizontal="centerContinuous" vertical="center"/>
    </xf>
    <xf numFmtId="0" fontId="38" fillId="16" borderId="2" xfId="0" applyFont="1" applyFill="1" applyBorder="1" applyAlignment="1">
      <alignment horizontal="centerContinuous" vertical="center"/>
    </xf>
    <xf numFmtId="0" fontId="38" fillId="16" borderId="1" xfId="0" applyFont="1" applyFill="1" applyBorder="1" applyAlignment="1">
      <alignment horizontal="left" vertical="center"/>
    </xf>
    <xf numFmtId="0" fontId="38" fillId="16" borderId="6" xfId="0" applyFont="1" applyFill="1" applyBorder="1" applyAlignment="1">
      <alignment horizontal="left" vertical="center"/>
    </xf>
    <xf numFmtId="4" fontId="38" fillId="16" borderId="6" xfId="0" applyNumberFormat="1" applyFont="1" applyFill="1" applyBorder="1" applyAlignment="1">
      <alignment vertical="center"/>
    </xf>
    <xf numFmtId="4" fontId="38" fillId="16" borderId="6" xfId="0" applyNumberFormat="1" applyFont="1" applyFill="1" applyBorder="1" applyAlignment="1">
      <alignment horizontal="center" vertical="center"/>
    </xf>
    <xf numFmtId="4" fontId="38" fillId="16" borderId="2" xfId="0" applyNumberFormat="1" applyFont="1" applyFill="1" applyBorder="1" applyAlignment="1">
      <alignment horizontal="center" vertical="center"/>
    </xf>
    <xf numFmtId="164" fontId="38" fillId="16" borderId="10" xfId="2" applyNumberFormat="1" applyFont="1" applyFill="1" applyBorder="1" applyAlignment="1">
      <alignment horizontal="center" vertical="center"/>
    </xf>
    <xf numFmtId="4" fontId="38" fillId="16" borderId="2" xfId="0" applyNumberFormat="1" applyFont="1" applyFill="1" applyBorder="1" applyAlignment="1">
      <alignment horizontal="centerContinuous" vertical="center"/>
    </xf>
    <xf numFmtId="0" fontId="2" fillId="17" borderId="14" xfId="0" applyFont="1" applyFill="1" applyBorder="1" applyAlignment="1">
      <alignment vertical="center"/>
    </xf>
    <xf numFmtId="0" fontId="3" fillId="17" borderId="14" xfId="0" applyFont="1" applyFill="1" applyBorder="1" applyAlignment="1">
      <alignment vertical="center"/>
    </xf>
    <xf numFmtId="0" fontId="2" fillId="17" borderId="14" xfId="0" applyFont="1" applyFill="1" applyBorder="1" applyAlignment="1">
      <alignment horizontal="center" vertical="center"/>
    </xf>
    <xf numFmtId="0" fontId="2" fillId="17" borderId="34" xfId="0" applyFont="1" applyFill="1" applyBorder="1" applyAlignment="1">
      <alignment horizontal="center" vertical="center"/>
    </xf>
    <xf numFmtId="0" fontId="2" fillId="17" borderId="37" xfId="0" applyFont="1" applyFill="1" applyBorder="1" applyAlignment="1">
      <alignment horizontal="center" vertical="center"/>
    </xf>
    <xf numFmtId="0" fontId="2" fillId="17" borderId="31" xfId="0" applyFont="1" applyFill="1" applyBorder="1" applyAlignment="1">
      <alignment horizontal="center" vertical="center"/>
    </xf>
    <xf numFmtId="0" fontId="2" fillId="17" borderId="8" xfId="0" applyFont="1" applyFill="1" applyBorder="1" applyAlignment="1">
      <alignment vertical="center"/>
    </xf>
    <xf numFmtId="4" fontId="2" fillId="17" borderId="14" xfId="0" applyNumberFormat="1" applyFont="1" applyFill="1" applyBorder="1" applyAlignment="1">
      <alignment horizontal="center" vertical="center"/>
    </xf>
    <xf numFmtId="4" fontId="2" fillId="17" borderId="14" xfId="0" applyNumberFormat="1" applyFont="1" applyFill="1" applyBorder="1" applyAlignment="1">
      <alignment vertical="center"/>
    </xf>
    <xf numFmtId="4" fontId="3" fillId="17" borderId="14" xfId="0" applyNumberFormat="1" applyFont="1" applyFill="1" applyBorder="1" applyAlignment="1">
      <alignment vertical="center"/>
    </xf>
    <xf numFmtId="4" fontId="2" fillId="17" borderId="34" xfId="0" applyNumberFormat="1" applyFont="1" applyFill="1" applyBorder="1" applyAlignment="1">
      <alignment horizontal="center" vertical="center"/>
    </xf>
    <xf numFmtId="4" fontId="2" fillId="17" borderId="37" xfId="0" applyNumberFormat="1" applyFont="1" applyFill="1" applyBorder="1" applyAlignment="1">
      <alignment horizontal="center" vertical="center"/>
    </xf>
    <xf numFmtId="4" fontId="2" fillId="17" borderId="31" xfId="0" applyNumberFormat="1" applyFont="1" applyFill="1" applyBorder="1" applyAlignment="1">
      <alignment horizontal="center" vertical="center"/>
    </xf>
    <xf numFmtId="4" fontId="2" fillId="17" borderId="8" xfId="0" applyNumberFormat="1" applyFont="1" applyFill="1" applyBorder="1" applyAlignment="1">
      <alignment vertical="center"/>
    </xf>
    <xf numFmtId="4" fontId="2" fillId="17" borderId="7" xfId="0" applyNumberFormat="1" applyFont="1" applyFill="1" applyBorder="1" applyAlignment="1">
      <alignment vertical="center"/>
    </xf>
    <xf numFmtId="4" fontId="3" fillId="17" borderId="14" xfId="0" applyNumberFormat="1" applyFont="1" applyFill="1" applyBorder="1" applyAlignment="1">
      <alignment horizontal="center" vertical="center"/>
    </xf>
    <xf numFmtId="4" fontId="7" fillId="16" borderId="1" xfId="0" applyNumberFormat="1" applyFont="1" applyFill="1" applyBorder="1" applyAlignment="1">
      <alignment vertical="center"/>
    </xf>
    <xf numFmtId="0" fontId="18" fillId="16" borderId="38" xfId="0" applyFont="1" applyFill="1" applyBorder="1" applyAlignment="1">
      <alignment horizontal="left" vertical="center"/>
    </xf>
    <xf numFmtId="4" fontId="18" fillId="16" borderId="38" xfId="0" applyNumberFormat="1" applyFont="1" applyFill="1" applyBorder="1" applyAlignment="1">
      <alignment horizontal="center" vertical="center"/>
    </xf>
    <xf numFmtId="4" fontId="18" fillId="16" borderId="39" xfId="0" applyNumberFormat="1" applyFont="1" applyFill="1" applyBorder="1" applyAlignment="1">
      <alignment horizontal="center" vertical="center"/>
    </xf>
    <xf numFmtId="4" fontId="18" fillId="16" borderId="40" xfId="0" applyNumberFormat="1" applyFont="1" applyFill="1" applyBorder="1" applyAlignment="1">
      <alignment horizontal="center" vertical="center"/>
    </xf>
    <xf numFmtId="0" fontId="18" fillId="16" borderId="0" xfId="0" applyFont="1" applyFill="1" applyAlignment="1">
      <alignment horizontal="left" vertical="center"/>
    </xf>
    <xf numFmtId="4" fontId="18" fillId="16" borderId="0" xfId="0" applyNumberFormat="1" applyFont="1" applyFill="1" applyAlignment="1">
      <alignment horizontal="center" vertical="center"/>
    </xf>
    <xf numFmtId="4" fontId="18" fillId="16" borderId="42" xfId="0" applyNumberFormat="1" applyFont="1" applyFill="1" applyBorder="1" applyAlignment="1">
      <alignment horizontal="center" vertical="center"/>
    </xf>
    <xf numFmtId="4" fontId="18" fillId="16" borderId="43" xfId="0" applyNumberFormat="1" applyFont="1" applyFill="1" applyBorder="1" applyAlignment="1">
      <alignment horizontal="center" vertical="center"/>
    </xf>
    <xf numFmtId="0" fontId="18" fillId="16" borderId="45" xfId="0" applyFont="1" applyFill="1" applyBorder="1" applyAlignment="1">
      <alignment horizontal="left" vertical="center"/>
    </xf>
    <xf numFmtId="4" fontId="18" fillId="16" borderId="45" xfId="0" applyNumberFormat="1" applyFont="1" applyFill="1" applyBorder="1" applyAlignment="1">
      <alignment horizontal="center" vertical="center"/>
    </xf>
    <xf numFmtId="4" fontId="18" fillId="16" borderId="46" xfId="0" applyNumberFormat="1" applyFont="1" applyFill="1" applyBorder="1" applyAlignment="1">
      <alignment horizontal="center" vertical="center"/>
    </xf>
    <xf numFmtId="4" fontId="18" fillId="16" borderId="47" xfId="0" applyNumberFormat="1" applyFont="1" applyFill="1" applyBorder="1" applyAlignment="1">
      <alignment horizontal="center" vertical="center"/>
    </xf>
    <xf numFmtId="4" fontId="18" fillId="16" borderId="41" xfId="0" applyNumberFormat="1" applyFont="1" applyFill="1" applyBorder="1" applyAlignment="1">
      <alignment horizontal="center" vertical="center"/>
    </xf>
    <xf numFmtId="4" fontId="18" fillId="16" borderId="44" xfId="0" applyNumberFormat="1" applyFont="1" applyFill="1" applyBorder="1" applyAlignment="1">
      <alignment horizontal="center" vertical="center"/>
    </xf>
    <xf numFmtId="4" fontId="18" fillId="16" borderId="48" xfId="0" applyNumberFormat="1" applyFont="1" applyFill="1" applyBorder="1" applyAlignment="1">
      <alignment horizontal="center" vertical="center"/>
    </xf>
    <xf numFmtId="0" fontId="7" fillId="17" borderId="9" xfId="0" applyFont="1" applyFill="1" applyBorder="1" applyAlignment="1">
      <alignment horizontal="left"/>
    </xf>
    <xf numFmtId="4" fontId="7" fillId="17" borderId="9" xfId="0" applyNumberFormat="1" applyFont="1" applyFill="1" applyBorder="1" applyAlignment="1">
      <alignment horizontal="center"/>
    </xf>
    <xf numFmtId="4" fontId="7" fillId="17" borderId="20" xfId="0" applyNumberFormat="1" applyFont="1" applyFill="1" applyBorder="1" applyAlignment="1">
      <alignment horizontal="center"/>
    </xf>
    <xf numFmtId="4" fontId="7" fillId="17" borderId="21" xfId="0" applyNumberFormat="1" applyFont="1" applyFill="1" applyBorder="1" applyAlignment="1">
      <alignment horizontal="center"/>
    </xf>
    <xf numFmtId="0" fontId="7" fillId="17" borderId="0" xfId="0" applyFont="1" applyFill="1" applyAlignment="1">
      <alignment horizontal="left"/>
    </xf>
    <xf numFmtId="4" fontId="7" fillId="17" borderId="0" xfId="0" applyNumberFormat="1" applyFont="1" applyFill="1" applyAlignment="1">
      <alignment horizontal="center"/>
    </xf>
    <xf numFmtId="4" fontId="7" fillId="17" borderId="13" xfId="0" applyNumberFormat="1" applyFont="1" applyFill="1" applyBorder="1" applyAlignment="1">
      <alignment horizontal="center"/>
    </xf>
    <xf numFmtId="4" fontId="7" fillId="17" borderId="22" xfId="0" applyNumberFormat="1" applyFont="1" applyFill="1" applyBorder="1" applyAlignment="1">
      <alignment horizontal="center"/>
    </xf>
    <xf numFmtId="0" fontId="7" fillId="17" borderId="3" xfId="0" applyFont="1" applyFill="1" applyBorder="1" applyAlignment="1">
      <alignment horizontal="left"/>
    </xf>
    <xf numFmtId="4" fontId="7" fillId="17" borderId="3" xfId="0" applyNumberFormat="1" applyFont="1" applyFill="1" applyBorder="1" applyAlignment="1">
      <alignment horizontal="center"/>
    </xf>
    <xf numFmtId="4" fontId="7" fillId="17" borderId="23" xfId="0" applyNumberFormat="1" applyFont="1" applyFill="1" applyBorder="1" applyAlignment="1">
      <alignment horizontal="center"/>
    </xf>
    <xf numFmtId="4" fontId="7" fillId="17" borderId="24" xfId="0" applyNumberFormat="1" applyFont="1" applyFill="1" applyBorder="1" applyAlignment="1">
      <alignment horizontal="center"/>
    </xf>
    <xf numFmtId="4" fontId="7" fillId="17" borderId="7" xfId="0" applyNumberFormat="1" applyFont="1" applyFill="1" applyBorder="1" applyAlignment="1">
      <alignment horizontal="center"/>
    </xf>
    <xf numFmtId="4" fontId="7" fillId="17" borderId="14" xfId="0" applyNumberFormat="1" applyFont="1" applyFill="1" applyBorder="1" applyAlignment="1">
      <alignment horizontal="center"/>
    </xf>
    <xf numFmtId="4" fontId="7" fillId="17" borderId="8" xfId="0" applyNumberFormat="1" applyFont="1" applyFill="1" applyBorder="1" applyAlignment="1">
      <alignment horizontal="center"/>
    </xf>
    <xf numFmtId="0" fontId="7" fillId="21" borderId="9" xfId="0" applyFont="1" applyFill="1" applyBorder="1" applyAlignment="1">
      <alignment horizontal="left"/>
    </xf>
    <xf numFmtId="4" fontId="7" fillId="21" borderId="9" xfId="0" applyNumberFormat="1" applyFont="1" applyFill="1" applyBorder="1" applyAlignment="1">
      <alignment horizontal="center"/>
    </xf>
    <xf numFmtId="4" fontId="7" fillId="21" borderId="20" xfId="0" applyNumberFormat="1" applyFont="1" applyFill="1" applyBorder="1" applyAlignment="1">
      <alignment horizontal="center"/>
    </xf>
    <xf numFmtId="4" fontId="7" fillId="21" borderId="21" xfId="0" applyNumberFormat="1" applyFont="1" applyFill="1" applyBorder="1" applyAlignment="1">
      <alignment horizontal="center"/>
    </xf>
    <xf numFmtId="0" fontId="7" fillId="21" borderId="0" xfId="0" applyFont="1" applyFill="1" applyAlignment="1">
      <alignment horizontal="left"/>
    </xf>
    <xf numFmtId="4" fontId="7" fillId="21" borderId="0" xfId="0" applyNumberFormat="1" applyFont="1" applyFill="1" applyAlignment="1">
      <alignment horizontal="center"/>
    </xf>
    <xf numFmtId="4" fontId="7" fillId="21" borderId="13" xfId="0" applyNumberFormat="1" applyFont="1" applyFill="1" applyBorder="1" applyAlignment="1">
      <alignment horizontal="center"/>
    </xf>
    <xf numFmtId="4" fontId="7" fillId="21" borderId="22" xfId="0" applyNumberFormat="1" applyFont="1" applyFill="1" applyBorder="1" applyAlignment="1">
      <alignment horizontal="center"/>
    </xf>
    <xf numFmtId="0" fontId="7" fillId="21" borderId="3" xfId="0" applyFont="1" applyFill="1" applyBorder="1" applyAlignment="1">
      <alignment horizontal="left"/>
    </xf>
    <xf numFmtId="4" fontId="7" fillId="21" borderId="3" xfId="0" applyNumberFormat="1" applyFont="1" applyFill="1" applyBorder="1" applyAlignment="1">
      <alignment horizontal="center"/>
    </xf>
    <xf numFmtId="4" fontId="7" fillId="21" borderId="23" xfId="0" applyNumberFormat="1" applyFont="1" applyFill="1" applyBorder="1" applyAlignment="1">
      <alignment horizontal="center"/>
    </xf>
    <xf numFmtId="4" fontId="7" fillId="21" borderId="24" xfId="0" applyNumberFormat="1" applyFont="1" applyFill="1" applyBorder="1" applyAlignment="1">
      <alignment horizontal="center"/>
    </xf>
    <xf numFmtId="4" fontId="7" fillId="21" borderId="7" xfId="0" applyNumberFormat="1" applyFont="1" applyFill="1" applyBorder="1" applyAlignment="1">
      <alignment horizontal="center"/>
    </xf>
    <xf numFmtId="4" fontId="7" fillId="21" borderId="14" xfId="0" applyNumberFormat="1" applyFont="1" applyFill="1" applyBorder="1" applyAlignment="1">
      <alignment horizontal="center"/>
    </xf>
    <xf numFmtId="4" fontId="7" fillId="21" borderId="8" xfId="0" applyNumberFormat="1" applyFont="1" applyFill="1" applyBorder="1" applyAlignment="1">
      <alignment horizontal="center"/>
    </xf>
    <xf numFmtId="0" fontId="38" fillId="16" borderId="1" xfId="0" applyFont="1" applyFill="1" applyBorder="1" applyAlignment="1">
      <alignment horizontal="centerContinuous"/>
    </xf>
    <xf numFmtId="0" fontId="38" fillId="16" borderId="2" xfId="0" applyFont="1" applyFill="1" applyBorder="1" applyAlignment="1">
      <alignment horizontal="centerContinuous"/>
    </xf>
    <xf numFmtId="0" fontId="38" fillId="16" borderId="7" xfId="0" applyFont="1" applyFill="1" applyBorder="1" applyAlignment="1">
      <alignment horizontal="center"/>
    </xf>
    <xf numFmtId="0" fontId="38" fillId="16" borderId="8" xfId="0" applyFont="1" applyFill="1" applyBorder="1" applyAlignment="1">
      <alignment horizontal="center"/>
    </xf>
    <xf numFmtId="0" fontId="25" fillId="16" borderId="7" xfId="0" applyFont="1" applyFill="1" applyBorder="1" applyAlignment="1">
      <alignment horizontal="centerContinuous" vertical="center"/>
    </xf>
    <xf numFmtId="0" fontId="25" fillId="16" borderId="8" xfId="0" applyFont="1" applyFill="1" applyBorder="1" applyAlignment="1">
      <alignment horizontal="center" vertical="center"/>
    </xf>
    <xf numFmtId="0" fontId="63" fillId="16" borderId="16" xfId="0" applyFont="1" applyFill="1" applyBorder="1" applyAlignment="1">
      <alignment horizontal="center"/>
    </xf>
    <xf numFmtId="0" fontId="63" fillId="16" borderId="17" xfId="0" applyFont="1" applyFill="1" applyBorder="1" applyAlignment="1">
      <alignment horizontal="center" vertical="center"/>
    </xf>
    <xf numFmtId="0" fontId="63" fillId="16" borderId="6" xfId="0" applyFont="1" applyFill="1" applyBorder="1" applyAlignment="1">
      <alignment vertical="center"/>
    </xf>
    <xf numFmtId="167" fontId="63" fillId="16" borderId="6" xfId="2" applyNumberFormat="1" applyFont="1" applyFill="1" applyBorder="1" applyAlignment="1">
      <alignment horizontal="center" vertical="center"/>
    </xf>
    <xf numFmtId="4" fontId="63" fillId="16" borderId="6" xfId="2" applyNumberFormat="1" applyFont="1" applyFill="1" applyBorder="1" applyAlignment="1">
      <alignment horizontal="center" vertical="center"/>
    </xf>
    <xf numFmtId="4" fontId="63" fillId="16" borderId="10" xfId="2" applyNumberFormat="1" applyFont="1" applyFill="1" applyBorder="1" applyAlignment="1">
      <alignment horizontal="center" vertical="center"/>
    </xf>
    <xf numFmtId="0" fontId="19" fillId="16" borderId="1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61" fillId="19" borderId="29" xfId="0" applyFont="1" applyFill="1" applyBorder="1" applyAlignment="1">
      <alignment vertical="center"/>
    </xf>
    <xf numFmtId="0" fontId="61" fillId="19" borderId="30" xfId="0" applyFont="1" applyFill="1" applyBorder="1" applyAlignment="1">
      <alignment horizontal="center" vertical="center"/>
    </xf>
    <xf numFmtId="0" fontId="61" fillId="19" borderId="73" xfId="0" quotePrefix="1" applyFont="1" applyFill="1" applyBorder="1" applyAlignment="1">
      <alignment horizontal="center" vertical="center"/>
    </xf>
    <xf numFmtId="0" fontId="60" fillId="0" borderId="32" xfId="0" applyFont="1" applyBorder="1" applyAlignment="1">
      <alignment vertical="center"/>
    </xf>
    <xf numFmtId="4" fontId="60" fillId="0" borderId="77" xfId="0" applyNumberFormat="1" applyFont="1" applyBorder="1" applyAlignment="1">
      <alignment horizontal="center" vertical="center"/>
    </xf>
    <xf numFmtId="0" fontId="60" fillId="0" borderId="35" xfId="0" applyFont="1" applyBorder="1" applyAlignment="1">
      <alignment vertical="center"/>
    </xf>
    <xf numFmtId="4" fontId="60" fillId="0" borderId="78" xfId="0" applyNumberFormat="1" applyFont="1" applyBorder="1" applyAlignment="1">
      <alignment horizontal="center" vertical="center"/>
    </xf>
    <xf numFmtId="4" fontId="65" fillId="0" borderId="0" xfId="0" applyNumberFormat="1" applyFont="1" applyAlignment="1">
      <alignment horizontal="center" vertical="center"/>
    </xf>
    <xf numFmtId="1" fontId="60" fillId="0" borderId="33" xfId="0" applyNumberFormat="1" applyFont="1" applyBorder="1" applyAlignment="1">
      <alignment horizontal="center" vertical="center"/>
    </xf>
    <xf numFmtId="1" fontId="60" fillId="0" borderId="36" xfId="0" applyNumberFormat="1" applyFont="1" applyBorder="1" applyAlignment="1">
      <alignment horizontal="center" vertical="center"/>
    </xf>
    <xf numFmtId="0" fontId="61" fillId="19" borderId="72" xfId="0" applyFont="1" applyFill="1" applyBorder="1" applyAlignment="1">
      <alignment horizontal="center" vertical="center"/>
    </xf>
    <xf numFmtId="0" fontId="61" fillId="19" borderId="64" xfId="0" applyFont="1" applyFill="1" applyBorder="1" applyAlignment="1">
      <alignment horizontal="center" vertical="center"/>
    </xf>
    <xf numFmtId="3" fontId="0" fillId="0" borderId="59" xfId="0" applyNumberFormat="1" applyBorder="1" applyAlignment="1">
      <alignment horizontal="center"/>
    </xf>
    <xf numFmtId="3" fontId="0" fillId="7" borderId="58" xfId="0" applyNumberFormat="1" applyFill="1" applyBorder="1" applyAlignment="1">
      <alignment horizontal="center"/>
    </xf>
    <xf numFmtId="3" fontId="0" fillId="7" borderId="69" xfId="0" applyNumberFormat="1" applyFill="1" applyBorder="1" applyAlignment="1">
      <alignment horizontal="center"/>
    </xf>
    <xf numFmtId="0" fontId="66" fillId="0" borderId="80" xfId="0" applyFont="1" applyBorder="1" applyAlignment="1">
      <alignment horizontal="centerContinuous" vertical="center"/>
    </xf>
    <xf numFmtId="0" fontId="66" fillId="0" borderId="81" xfId="0" applyFont="1" applyBorder="1" applyAlignment="1">
      <alignment horizontal="centerContinuous" vertical="center"/>
    </xf>
    <xf numFmtId="16" fontId="67" fillId="0" borderId="80" xfId="0" applyNumberFormat="1" applyFont="1" applyBorder="1" applyAlignment="1">
      <alignment horizontal="center" vertical="center"/>
    </xf>
    <xf numFmtId="0" fontId="67" fillId="0" borderId="82" xfId="0" applyFont="1" applyBorder="1" applyAlignment="1">
      <alignment horizontal="center" vertical="center"/>
    </xf>
    <xf numFmtId="0" fontId="67" fillId="0" borderId="80" xfId="0" applyFont="1" applyBorder="1" applyAlignment="1">
      <alignment horizontal="center" vertical="center"/>
    </xf>
    <xf numFmtId="0" fontId="37" fillId="0" borderId="0" xfId="0" applyFont="1"/>
    <xf numFmtId="167" fontId="66" fillId="0" borderId="32" xfId="2" applyNumberFormat="1" applyFont="1" applyBorder="1" applyAlignment="1">
      <alignment horizontal="center" vertical="center"/>
    </xf>
    <xf numFmtId="167" fontId="66" fillId="0" borderId="72" xfId="2" applyNumberFormat="1" applyFont="1" applyBorder="1" applyAlignment="1">
      <alignment horizontal="center" vertical="center"/>
    </xf>
    <xf numFmtId="167" fontId="66" fillId="0" borderId="35" xfId="0" applyNumberFormat="1" applyFont="1" applyBorder="1" applyAlignment="1">
      <alignment horizontal="center" vertical="center"/>
    </xf>
    <xf numFmtId="167" fontId="66" fillId="0" borderId="64" xfId="0" applyNumberFormat="1" applyFont="1" applyBorder="1" applyAlignment="1">
      <alignment horizontal="center" vertical="center"/>
    </xf>
    <xf numFmtId="167" fontId="66" fillId="0" borderId="0" xfId="0" applyNumberFormat="1" applyFont="1" applyAlignment="1">
      <alignment horizontal="center" vertical="center"/>
    </xf>
    <xf numFmtId="167" fontId="66" fillId="0" borderId="0" xfId="0" applyNumberFormat="1" applyFont="1" applyAlignment="1">
      <alignment horizontal="center"/>
    </xf>
    <xf numFmtId="167" fontId="66" fillId="0" borderId="18" xfId="2" applyNumberFormat="1" applyFont="1" applyBorder="1" applyAlignment="1">
      <alignment horizontal="center" vertical="center"/>
    </xf>
    <xf numFmtId="167" fontId="66" fillId="0" borderId="15" xfId="2" applyNumberFormat="1" applyFont="1" applyBorder="1" applyAlignment="1">
      <alignment horizontal="center" vertical="center"/>
    </xf>
    <xf numFmtId="167" fontId="66" fillId="0" borderId="35" xfId="2" applyNumberFormat="1" applyFont="1" applyBorder="1" applyAlignment="1">
      <alignment horizontal="center" vertical="center"/>
    </xf>
    <xf numFmtId="167" fontId="66" fillId="0" borderId="64" xfId="2" applyNumberFormat="1" applyFont="1" applyBorder="1" applyAlignment="1">
      <alignment horizontal="center" vertical="center"/>
    </xf>
    <xf numFmtId="0" fontId="68" fillId="0" borderId="79" xfId="0" applyFont="1" applyBorder="1" applyAlignment="1">
      <alignment horizontal="centerContinuous" vertical="center"/>
    </xf>
    <xf numFmtId="0" fontId="50" fillId="0" borderId="0" xfId="0" quotePrefix="1" applyFont="1" applyAlignment="1">
      <alignment vertical="center"/>
    </xf>
    <xf numFmtId="167" fontId="24" fillId="0" borderId="0" xfId="0" applyNumberFormat="1" applyFont="1" applyAlignment="1">
      <alignment horizontal="center" vertical="center"/>
    </xf>
    <xf numFmtId="4" fontId="37" fillId="0" borderId="73" xfId="0" applyNumberFormat="1" applyFont="1" applyBorder="1" applyAlignment="1">
      <alignment horizontal="center" vertical="center"/>
    </xf>
    <xf numFmtId="4" fontId="37" fillId="0" borderId="59" xfId="0" applyNumberFormat="1" applyFont="1" applyBorder="1" applyAlignment="1">
      <alignment horizontal="center" vertical="center"/>
    </xf>
    <xf numFmtId="4" fontId="37" fillId="0" borderId="29" xfId="0" applyNumberFormat="1" applyFont="1" applyBorder="1" applyAlignment="1">
      <alignment horizontal="center" vertical="center"/>
    </xf>
    <xf numFmtId="4" fontId="37" fillId="0" borderId="83" xfId="0" applyNumberFormat="1" applyFont="1" applyBorder="1" applyAlignment="1">
      <alignment horizontal="center" vertical="center"/>
    </xf>
    <xf numFmtId="4" fontId="37" fillId="0" borderId="76" xfId="0" applyNumberFormat="1" applyFont="1" applyBorder="1" applyAlignment="1">
      <alignment horizontal="center" vertical="center"/>
    </xf>
    <xf numFmtId="4" fontId="37" fillId="0" borderId="84" xfId="0" applyNumberFormat="1" applyFont="1" applyBorder="1" applyAlignment="1">
      <alignment horizontal="center" vertical="center"/>
    </xf>
    <xf numFmtId="3" fontId="37" fillId="0" borderId="0" xfId="0" applyNumberFormat="1" applyFont="1"/>
    <xf numFmtId="0" fontId="2" fillId="17" borderId="0" xfId="0" applyFont="1" applyFill="1" applyAlignment="1">
      <alignment horizontal="left" vertical="center" indent="1"/>
    </xf>
    <xf numFmtId="0" fontId="70" fillId="0" borderId="0" xfId="0" applyFont="1" applyAlignment="1">
      <alignment horizontal="center" vertical="justify"/>
    </xf>
    <xf numFmtId="0" fontId="71" fillId="0" borderId="0" xfId="0" applyFont="1" applyAlignment="1">
      <alignment vertical="center" wrapText="1"/>
    </xf>
    <xf numFmtId="0" fontId="37" fillId="0" borderId="79" xfId="0" applyFont="1" applyBorder="1" applyAlignment="1">
      <alignment horizontal="center" vertical="center"/>
    </xf>
    <xf numFmtId="0" fontId="37" fillId="0" borderId="80" xfId="0" applyFont="1" applyBorder="1" applyAlignment="1">
      <alignment horizontal="center" vertical="center"/>
    </xf>
    <xf numFmtId="0" fontId="37" fillId="0" borderId="81" xfId="0" applyFont="1" applyBorder="1" applyAlignment="1">
      <alignment horizontal="center" vertical="center"/>
    </xf>
    <xf numFmtId="0" fontId="66" fillId="0" borderId="0" xfId="0" applyFont="1" applyAlignment="1">
      <alignment horizontal="center"/>
    </xf>
    <xf numFmtId="0" fontId="68" fillId="0" borderId="85" xfId="0" applyFont="1" applyBorder="1" applyAlignment="1">
      <alignment horizontal="center"/>
    </xf>
    <xf numFmtId="0" fontId="68" fillId="0" borderId="86" xfId="0" applyFont="1" applyBorder="1" applyAlignment="1">
      <alignment horizontal="center"/>
    </xf>
    <xf numFmtId="10" fontId="37" fillId="17" borderId="59" xfId="2" applyNumberFormat="1" applyFont="1" applyFill="1" applyBorder="1" applyAlignment="1">
      <alignment horizontal="center" vertical="center"/>
    </xf>
    <xf numFmtId="10" fontId="68" fillId="0" borderId="0" xfId="2" applyNumberFormat="1" applyFont="1" applyAlignment="1">
      <alignment horizontal="center" vertical="center"/>
    </xf>
    <xf numFmtId="10" fontId="37" fillId="17" borderId="72" xfId="2" applyNumberFormat="1" applyFont="1" applyFill="1" applyBorder="1" applyAlignment="1">
      <alignment horizontal="center" vertical="center"/>
    </xf>
    <xf numFmtId="10" fontId="37" fillId="17" borderId="15" xfId="2" applyNumberFormat="1" applyFont="1" applyFill="1" applyBorder="1" applyAlignment="1">
      <alignment horizontal="center" vertical="center"/>
    </xf>
    <xf numFmtId="10" fontId="37" fillId="17" borderId="64" xfId="2" applyNumberFormat="1" applyFont="1" applyFill="1" applyBorder="1" applyAlignment="1">
      <alignment horizontal="center" vertical="center"/>
    </xf>
    <xf numFmtId="0" fontId="73" fillId="0" borderId="8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vertical="center"/>
    </xf>
    <xf numFmtId="0" fontId="73" fillId="0" borderId="7" xfId="0" applyFont="1" applyBorder="1" applyAlignment="1">
      <alignment horizontal="center" vertical="center"/>
    </xf>
    <xf numFmtId="3" fontId="73" fillId="0" borderId="10" xfId="0" applyNumberFormat="1" applyFont="1" applyBorder="1" applyAlignment="1">
      <alignment horizontal="center" vertical="center"/>
    </xf>
    <xf numFmtId="0" fontId="66" fillId="0" borderId="0" xfId="0" applyFont="1"/>
    <xf numFmtId="0" fontId="66" fillId="0" borderId="1" xfId="0" applyFont="1" applyBorder="1" applyAlignment="1">
      <alignment horizontal="centerContinuous" vertical="center"/>
    </xf>
    <xf numFmtId="0" fontId="66" fillId="0" borderId="6" xfId="0" applyFont="1" applyBorder="1" applyAlignment="1">
      <alignment horizontal="centerContinuous" vertical="center"/>
    </xf>
    <xf numFmtId="0" fontId="66" fillId="0" borderId="2" xfId="0" applyFont="1" applyBorder="1" applyAlignment="1">
      <alignment horizontal="centerContinuous" vertical="center"/>
    </xf>
    <xf numFmtId="4" fontId="37" fillId="0" borderId="78" xfId="0" applyNumberFormat="1" applyFont="1" applyBorder="1" applyAlignment="1">
      <alignment horizontal="center" vertical="center"/>
    </xf>
    <xf numFmtId="4" fontId="37" fillId="0" borderId="64" xfId="0" applyNumberFormat="1" applyFont="1" applyBorder="1" applyAlignment="1">
      <alignment horizontal="center" vertical="center"/>
    </xf>
    <xf numFmtId="4" fontId="37" fillId="0" borderId="35" xfId="0" applyNumberFormat="1" applyFont="1" applyBorder="1" applyAlignment="1">
      <alignment horizontal="center" vertical="center"/>
    </xf>
    <xf numFmtId="0" fontId="66" fillId="0" borderId="3" xfId="0" applyFont="1" applyBorder="1"/>
    <xf numFmtId="16" fontId="67" fillId="0" borderId="3" xfId="0" applyNumberFormat="1" applyFont="1" applyBorder="1" applyAlignment="1">
      <alignment horizontal="center" vertical="center"/>
    </xf>
    <xf numFmtId="0" fontId="67" fillId="0" borderId="58" xfId="0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0" fontId="66" fillId="0" borderId="30" xfId="0" applyFont="1" applyBorder="1"/>
    <xf numFmtId="0" fontId="74" fillId="19" borderId="29" xfId="0" applyFont="1" applyFill="1" applyBorder="1" applyAlignment="1">
      <alignment vertical="center"/>
    </xf>
    <xf numFmtId="0" fontId="74" fillId="19" borderId="30" xfId="0" applyFont="1" applyFill="1" applyBorder="1" applyAlignment="1">
      <alignment horizontal="center" vertical="center"/>
    </xf>
    <xf numFmtId="0" fontId="74" fillId="19" borderId="73" xfId="0" quotePrefix="1" applyFont="1" applyFill="1" applyBorder="1" applyAlignment="1">
      <alignment horizontal="center" vertical="center"/>
    </xf>
    <xf numFmtId="0" fontId="66" fillId="0" borderId="32" xfId="0" applyFont="1" applyBorder="1" applyAlignment="1">
      <alignment vertical="center"/>
    </xf>
    <xf numFmtId="4" fontId="66" fillId="0" borderId="77" xfId="0" applyNumberFormat="1" applyFont="1" applyBorder="1" applyAlignment="1">
      <alignment horizontal="center" vertical="center"/>
    </xf>
    <xf numFmtId="0" fontId="66" fillId="0" borderId="18" xfId="0" applyFont="1" applyBorder="1" applyAlignment="1">
      <alignment vertical="center"/>
    </xf>
    <xf numFmtId="4" fontId="66" fillId="0" borderId="71" xfId="0" applyNumberFormat="1" applyFont="1" applyBorder="1" applyAlignment="1">
      <alignment horizontal="center" vertical="center"/>
    </xf>
    <xf numFmtId="0" fontId="66" fillId="0" borderId="35" xfId="0" applyFont="1" applyBorder="1" applyAlignment="1">
      <alignment vertical="center"/>
    </xf>
    <xf numFmtId="4" fontId="66" fillId="0" borderId="78" xfId="0" applyNumberFormat="1" applyFont="1" applyBorder="1" applyAlignment="1">
      <alignment horizontal="center" vertical="center"/>
    </xf>
    <xf numFmtId="0" fontId="66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1" fontId="66" fillId="0" borderId="33" xfId="0" applyNumberFormat="1" applyFont="1" applyBorder="1" applyAlignment="1">
      <alignment horizontal="center" vertical="center"/>
    </xf>
    <xf numFmtId="1" fontId="66" fillId="0" borderId="0" xfId="0" applyNumberFormat="1" applyFont="1" applyAlignment="1">
      <alignment horizontal="center" vertical="center"/>
    </xf>
    <xf numFmtId="1" fontId="66" fillId="0" borderId="36" xfId="0" applyNumberFormat="1" applyFont="1" applyBorder="1" applyAlignment="1">
      <alignment horizontal="center" vertical="center"/>
    </xf>
    <xf numFmtId="0" fontId="74" fillId="19" borderId="59" xfId="0" applyFont="1" applyFill="1" applyBorder="1" applyAlignment="1">
      <alignment horizontal="center" vertical="center"/>
    </xf>
    <xf numFmtId="0" fontId="16" fillId="16" borderId="0" xfId="0" applyFont="1" applyFill="1" applyAlignment="1">
      <alignment vertical="center"/>
    </xf>
    <xf numFmtId="0" fontId="75" fillId="16" borderId="0" xfId="0" applyFont="1" applyFill="1" applyAlignment="1">
      <alignment vertical="center"/>
    </xf>
    <xf numFmtId="0" fontId="16" fillId="16" borderId="0" xfId="0" applyFont="1" applyFill="1" applyAlignment="1">
      <alignment horizontal="right" vertical="center"/>
    </xf>
    <xf numFmtId="0" fontId="76" fillId="16" borderId="0" xfId="0" applyFont="1" applyFill="1" applyAlignment="1">
      <alignment vertical="center"/>
    </xf>
    <xf numFmtId="0" fontId="76" fillId="16" borderId="0" xfId="0" applyFont="1" applyFill="1" applyAlignment="1">
      <alignment horizontal="center" vertical="center"/>
    </xf>
    <xf numFmtId="165" fontId="76" fillId="16" borderId="0" xfId="0" applyNumberFormat="1" applyFont="1" applyFill="1" applyAlignment="1">
      <alignment horizontal="center" vertical="center"/>
    </xf>
    <xf numFmtId="0" fontId="77" fillId="0" borderId="0" xfId="7" applyFont="1" applyAlignment="1">
      <alignment vertical="center"/>
    </xf>
    <xf numFmtId="0" fontId="77" fillId="0" borderId="0" xfId="7" applyFont="1" applyAlignment="1">
      <alignment horizontal="center" vertical="center"/>
    </xf>
    <xf numFmtId="0" fontId="78" fillId="0" borderId="0" xfId="7" applyFont="1" applyAlignment="1">
      <alignment vertical="center"/>
    </xf>
    <xf numFmtId="0" fontId="79" fillId="16" borderId="0" xfId="7" applyFont="1" applyFill="1" applyAlignment="1">
      <alignment horizontal="center" vertical="center"/>
    </xf>
    <xf numFmtId="0" fontId="81" fillId="16" borderId="0" xfId="7" applyFont="1" applyFill="1" applyAlignment="1">
      <alignment vertical="center"/>
    </xf>
    <xf numFmtId="0" fontId="81" fillId="16" borderId="0" xfId="7" applyFont="1" applyFill="1" applyAlignment="1">
      <alignment horizontal="center" vertical="center"/>
    </xf>
    <xf numFmtId="0" fontId="81" fillId="16" borderId="85" xfId="7" applyFont="1" applyFill="1" applyBorder="1" applyAlignment="1">
      <alignment horizontal="center" vertical="center"/>
    </xf>
    <xf numFmtId="0" fontId="77" fillId="0" borderId="87" xfId="7" applyFont="1" applyBorder="1" applyAlignment="1">
      <alignment vertical="center"/>
    </xf>
    <xf numFmtId="4" fontId="77" fillId="0" borderId="0" xfId="7" applyNumberFormat="1" applyFont="1" applyAlignment="1">
      <alignment horizontal="center" vertical="center"/>
    </xf>
    <xf numFmtId="0" fontId="77" fillId="0" borderId="0" xfId="7" quotePrefix="1" applyFont="1" applyAlignment="1">
      <alignment vertical="center"/>
    </xf>
    <xf numFmtId="10" fontId="77" fillId="0" borderId="0" xfId="7" applyNumberFormat="1" applyFont="1" applyAlignment="1">
      <alignment horizontal="center" vertical="center"/>
    </xf>
    <xf numFmtId="10" fontId="77" fillId="0" borderId="0" xfId="2" applyNumberFormat="1" applyFont="1" applyAlignment="1">
      <alignment horizontal="center" vertical="center"/>
    </xf>
    <xf numFmtId="0" fontId="83" fillId="0" borderId="0" xfId="7" applyFont="1" applyAlignment="1">
      <alignment vertical="center"/>
    </xf>
    <xf numFmtId="0" fontId="83" fillId="0" borderId="0" xfId="7" applyFont="1" applyAlignment="1">
      <alignment horizontal="center" vertical="center"/>
    </xf>
    <xf numFmtId="10" fontId="83" fillId="0" borderId="0" xfId="7" applyNumberFormat="1" applyFont="1" applyAlignment="1">
      <alignment horizontal="center" vertical="center"/>
    </xf>
    <xf numFmtId="0" fontId="83" fillId="0" borderId="87" xfId="7" applyFont="1" applyBorder="1" applyAlignment="1">
      <alignment vertical="center"/>
    </xf>
    <xf numFmtId="4" fontId="84" fillId="0" borderId="0" xfId="7" applyNumberFormat="1" applyFont="1" applyAlignment="1">
      <alignment horizontal="center" vertical="center"/>
    </xf>
    <xf numFmtId="4" fontId="83" fillId="0" borderId="0" xfId="7" applyNumberFormat="1" applyFont="1" applyAlignment="1">
      <alignment horizontal="center" vertical="center"/>
    </xf>
    <xf numFmtId="3" fontId="83" fillId="0" borderId="0" xfId="7" applyNumberFormat="1" applyFont="1" applyAlignment="1">
      <alignment horizontal="center" vertical="center"/>
    </xf>
    <xf numFmtId="3" fontId="77" fillId="0" borderId="0" xfId="7" applyNumberFormat="1" applyFont="1" applyAlignment="1">
      <alignment horizontal="center" vertical="center"/>
    </xf>
    <xf numFmtId="0" fontId="77" fillId="0" borderId="0" xfId="7" applyFont="1" applyAlignment="1">
      <alignment horizontal="left" vertical="center" indent="1"/>
    </xf>
    <xf numFmtId="4" fontId="77" fillId="0" borderId="0" xfId="7" applyNumberFormat="1" applyFont="1" applyAlignment="1">
      <alignment vertical="center"/>
    </xf>
    <xf numFmtId="4" fontId="81" fillId="16" borderId="0" xfId="7" applyNumberFormat="1" applyFont="1" applyFill="1" applyAlignment="1">
      <alignment horizontal="center" vertical="center"/>
    </xf>
    <xf numFmtId="0" fontId="77" fillId="16" borderId="88" xfId="7" applyFont="1" applyFill="1" applyBorder="1" applyAlignment="1">
      <alignment vertical="center"/>
    </xf>
    <xf numFmtId="0" fontId="78" fillId="0" borderId="0" xfId="8" applyFont="1" applyAlignment="1">
      <alignment horizontal="left" vertical="center"/>
    </xf>
    <xf numFmtId="0" fontId="85" fillId="0" borderId="0" xfId="8" applyFont="1" applyAlignment="1">
      <alignment horizontal="center"/>
    </xf>
    <xf numFmtId="0" fontId="85" fillId="0" borderId="0" xfId="8" applyFont="1"/>
    <xf numFmtId="0" fontId="77" fillId="0" borderId="0" xfId="8" applyFont="1" applyAlignment="1">
      <alignment horizontal="center"/>
    </xf>
    <xf numFmtId="0" fontId="81" fillId="16" borderId="0" xfId="8" applyFont="1" applyFill="1" applyAlignment="1">
      <alignment horizontal="center"/>
    </xf>
    <xf numFmtId="0" fontId="77" fillId="0" borderId="0" xfId="8" applyFont="1"/>
    <xf numFmtId="4" fontId="77" fillId="0" borderId="0" xfId="8" applyNumberFormat="1" applyFont="1" applyAlignment="1">
      <alignment horizontal="center"/>
    </xf>
    <xf numFmtId="0" fontId="77" fillId="0" borderId="0" xfId="8" applyFont="1" applyAlignment="1">
      <alignment vertical="center"/>
    </xf>
    <xf numFmtId="0" fontId="77" fillId="0" borderId="0" xfId="0" applyFont="1"/>
    <xf numFmtId="0" fontId="86" fillId="0" borderId="7" xfId="0" applyFont="1" applyBorder="1" applyAlignment="1">
      <alignment horizontal="center" vertical="center"/>
    </xf>
    <xf numFmtId="0" fontId="86" fillId="0" borderId="14" xfId="0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/>
    </xf>
    <xf numFmtId="3" fontId="77" fillId="0" borderId="0" xfId="0" applyNumberFormat="1" applyFont="1" applyAlignment="1">
      <alignment horizontal="center" vertical="center"/>
    </xf>
    <xf numFmtId="0" fontId="83" fillId="0" borderId="0" xfId="0" applyFont="1"/>
    <xf numFmtId="3" fontId="83" fillId="0" borderId="0" xfId="0" applyNumberFormat="1" applyFont="1" applyAlignment="1">
      <alignment vertical="center"/>
    </xf>
    <xf numFmtId="3" fontId="83" fillId="0" borderId="0" xfId="0" applyNumberFormat="1" applyFont="1" applyAlignment="1">
      <alignment horizontal="center" vertical="center"/>
    </xf>
    <xf numFmtId="0" fontId="77" fillId="0" borderId="0" xfId="0" applyFont="1" applyAlignment="1">
      <alignment vertical="center"/>
    </xf>
    <xf numFmtId="3" fontId="86" fillId="0" borderId="59" xfId="0" applyNumberFormat="1" applyFont="1" applyBorder="1" applyAlignment="1">
      <alignment horizontal="center" vertical="center"/>
    </xf>
    <xf numFmtId="3" fontId="77" fillId="0" borderId="59" xfId="0" applyNumberFormat="1" applyFont="1" applyBorder="1" applyAlignment="1">
      <alignment horizontal="center" vertical="center"/>
    </xf>
    <xf numFmtId="169" fontId="86" fillId="0" borderId="59" xfId="0" applyNumberFormat="1" applyFont="1" applyBorder="1" applyAlignment="1">
      <alignment horizontal="center" vertical="center"/>
    </xf>
    <xf numFmtId="0" fontId="81" fillId="16" borderId="0" xfId="7" applyFont="1" applyFill="1" applyAlignment="1">
      <alignment horizontal="centerContinuous" vertical="center"/>
    </xf>
    <xf numFmtId="0" fontId="77" fillId="16" borderId="0" xfId="0" applyFont="1" applyFill="1" applyAlignment="1">
      <alignment horizontal="centerContinuous"/>
    </xf>
    <xf numFmtId="0" fontId="77" fillId="0" borderId="59" xfId="0" applyFont="1" applyBorder="1" applyAlignment="1">
      <alignment horizontal="center" vertical="center"/>
    </xf>
    <xf numFmtId="0" fontId="81" fillId="16" borderId="7" xfId="0" applyFont="1" applyFill="1" applyBorder="1"/>
    <xf numFmtId="0" fontId="81" fillId="16" borderId="14" xfId="0" applyFont="1" applyFill="1" applyBorder="1" applyAlignment="1">
      <alignment horizontal="center"/>
    </xf>
    <xf numFmtId="0" fontId="81" fillId="16" borderId="8" xfId="0" applyFont="1" applyFill="1" applyBorder="1"/>
    <xf numFmtId="0" fontId="77" fillId="0" borderId="59" xfId="7" applyFont="1" applyBorder="1" applyAlignment="1">
      <alignment vertical="center"/>
    </xf>
    <xf numFmtId="0" fontId="83" fillId="17" borderId="29" xfId="0" applyFont="1" applyFill="1" applyBorder="1" applyAlignment="1">
      <alignment vertical="center"/>
    </xf>
    <xf numFmtId="0" fontId="83" fillId="17" borderId="30" xfId="0" applyFont="1" applyFill="1" applyBorder="1" applyAlignment="1">
      <alignment vertical="center"/>
    </xf>
    <xf numFmtId="10" fontId="87" fillId="17" borderId="73" xfId="2" applyNumberFormat="1" applyFont="1" applyFill="1" applyBorder="1" applyAlignment="1">
      <alignment horizontal="center" vertical="center"/>
    </xf>
    <xf numFmtId="10" fontId="83" fillId="17" borderId="30" xfId="2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165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59" xfId="0" applyFont="1" applyBorder="1"/>
    <xf numFmtId="165" fontId="0" fillId="0" borderId="29" xfId="0" applyNumberFormat="1" applyBorder="1" applyAlignment="1">
      <alignment horizontal="center"/>
    </xf>
    <xf numFmtId="165" fontId="0" fillId="0" borderId="30" xfId="0" applyNumberFormat="1" applyBorder="1" applyAlignment="1">
      <alignment horizontal="center"/>
    </xf>
    <xf numFmtId="165" fontId="0" fillId="0" borderId="73" xfId="0" applyNumberFormat="1" applyBorder="1" applyAlignment="1">
      <alignment horizontal="center"/>
    </xf>
    <xf numFmtId="165" fontId="0" fillId="0" borderId="0" xfId="0" applyNumberFormat="1"/>
    <xf numFmtId="166" fontId="0" fillId="0" borderId="0" xfId="0" applyNumberFormat="1" applyAlignment="1">
      <alignment horizontal="center"/>
    </xf>
    <xf numFmtId="3" fontId="0" fillId="0" borderId="29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0" fillId="0" borderId="73" xfId="0" applyNumberFormat="1" applyBorder="1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10" fontId="87" fillId="17" borderId="59" xfId="2" applyNumberFormat="1" applyFont="1" applyFill="1" applyBorder="1" applyAlignment="1">
      <alignment horizontal="center" vertical="center"/>
    </xf>
    <xf numFmtId="0" fontId="0" fillId="0" borderId="7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64" xfId="0" applyBorder="1" applyAlignment="1">
      <alignment horizontal="left"/>
    </xf>
    <xf numFmtId="3" fontId="0" fillId="0" borderId="32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0" borderId="7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3" fontId="0" fillId="0" borderId="78" xfId="0" applyNumberFormat="1" applyBorder="1" applyAlignment="1">
      <alignment horizontal="center"/>
    </xf>
    <xf numFmtId="0" fontId="2" fillId="0" borderId="72" xfId="0" applyFont="1" applyBorder="1" applyAlignment="1">
      <alignment horizontal="left" indent="1"/>
    </xf>
    <xf numFmtId="0" fontId="2" fillId="0" borderId="64" xfId="0" applyFont="1" applyBorder="1" applyAlignment="1">
      <alignment horizontal="left" indent="1"/>
    </xf>
    <xf numFmtId="164" fontId="0" fillId="0" borderId="0" xfId="2" applyNumberFormat="1" applyFont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3" fontId="0" fillId="0" borderId="49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67" xfId="0" applyNumberFormat="1" applyBorder="1" applyAlignment="1">
      <alignment horizontal="center"/>
    </xf>
    <xf numFmtId="4" fontId="0" fillId="0" borderId="51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69" xfId="0" applyNumberFormat="1" applyBorder="1" applyAlignment="1">
      <alignment horizontal="center"/>
    </xf>
    <xf numFmtId="4" fontId="48" fillId="0" borderId="59" xfId="0" applyNumberFormat="1" applyFont="1" applyBorder="1" applyAlignment="1">
      <alignment horizontal="center" vertical="center"/>
    </xf>
    <xf numFmtId="0" fontId="88" fillId="0" borderId="29" xfId="0" applyFont="1" applyBorder="1" applyAlignment="1">
      <alignment horizontal="center" vertical="center"/>
    </xf>
    <xf numFmtId="2" fontId="48" fillId="0" borderId="72" xfId="0" applyNumberFormat="1" applyFont="1" applyBorder="1" applyAlignment="1">
      <alignment horizontal="center" vertical="center"/>
    </xf>
    <xf numFmtId="0" fontId="50" fillId="0" borderId="64" xfId="0" applyFont="1" applyBorder="1" applyAlignment="1">
      <alignment vertical="center"/>
    </xf>
    <xf numFmtId="165" fontId="50" fillId="0" borderId="64" xfId="0" applyNumberFormat="1" applyFont="1" applyBorder="1" applyAlignment="1">
      <alignment horizontal="center" vertical="center"/>
    </xf>
    <xf numFmtId="0" fontId="88" fillId="15" borderId="29" xfId="0" applyFont="1" applyFill="1" applyBorder="1" applyAlignment="1">
      <alignment horizontal="center" vertical="center"/>
    </xf>
    <xf numFmtId="4" fontId="48" fillId="15" borderId="59" xfId="0" applyNumberFormat="1" applyFont="1" applyFill="1" applyBorder="1" applyAlignment="1">
      <alignment horizontal="center" vertical="center"/>
    </xf>
    <xf numFmtId="2" fontId="48" fillId="0" borderId="59" xfId="0" applyNumberFormat="1" applyFont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48" fillId="0" borderId="30" xfId="0" applyFont="1" applyBorder="1" applyAlignment="1">
      <alignment vertical="center"/>
    </xf>
    <xf numFmtId="0" fontId="90" fillId="0" borderId="33" xfId="0" applyFont="1" applyBorder="1" applyAlignment="1">
      <alignment horizontal="center" vertical="center"/>
    </xf>
    <xf numFmtId="0" fontId="90" fillId="0" borderId="73" xfId="0" applyFont="1" applyBorder="1" applyAlignment="1">
      <alignment horizontal="center" vertical="center"/>
    </xf>
    <xf numFmtId="3" fontId="48" fillId="0" borderId="30" xfId="0" applyNumberFormat="1" applyFont="1" applyBorder="1" applyAlignment="1">
      <alignment horizontal="center" vertical="center"/>
    </xf>
    <xf numFmtId="0" fontId="92" fillId="0" borderId="90" xfId="0" applyFont="1" applyBorder="1" applyAlignment="1">
      <alignment horizontal="center" vertical="center"/>
    </xf>
    <xf numFmtId="0" fontId="92" fillId="0" borderId="91" xfId="0" applyFont="1" applyBorder="1" applyAlignment="1">
      <alignment vertical="center"/>
    </xf>
    <xf numFmtId="0" fontId="92" fillId="0" borderId="59" xfId="0" applyFont="1" applyBorder="1" applyAlignment="1">
      <alignment horizontal="center" vertical="center"/>
    </xf>
    <xf numFmtId="0" fontId="92" fillId="0" borderId="29" xfId="0" applyFont="1" applyBorder="1" applyAlignment="1">
      <alignment vertical="center"/>
    </xf>
    <xf numFmtId="0" fontId="92" fillId="0" borderId="76" xfId="0" applyFont="1" applyBorder="1" applyAlignment="1">
      <alignment horizontal="center" vertical="center"/>
    </xf>
    <xf numFmtId="0" fontId="92" fillId="0" borderId="84" xfId="0" applyFont="1" applyBorder="1" applyAlignment="1">
      <alignment vertical="center"/>
    </xf>
    <xf numFmtId="0" fontId="92" fillId="0" borderId="89" xfId="0" applyFont="1" applyBorder="1" applyAlignment="1">
      <alignment horizontal="center" vertical="center"/>
    </xf>
    <xf numFmtId="0" fontId="92" fillId="0" borderId="73" xfId="0" applyFont="1" applyBorder="1" applyAlignment="1">
      <alignment horizontal="center" vertical="center"/>
    </xf>
    <xf numFmtId="0" fontId="92" fillId="0" borderId="83" xfId="0" applyFont="1" applyBorder="1" applyAlignment="1">
      <alignment horizontal="center" vertical="center"/>
    </xf>
    <xf numFmtId="0" fontId="0" fillId="0" borderId="92" xfId="0" applyBorder="1" applyAlignment="1">
      <alignment vertical="center"/>
    </xf>
    <xf numFmtId="0" fontId="0" fillId="0" borderId="30" xfId="0" applyBorder="1" applyAlignment="1">
      <alignment vertical="center"/>
    </xf>
    <xf numFmtId="0" fontId="2" fillId="0" borderId="30" xfId="0" applyFont="1" applyBorder="1" applyAlignment="1">
      <alignment vertical="center"/>
    </xf>
    <xf numFmtId="0" fontId="0" fillId="0" borderId="93" xfId="0" applyBorder="1" applyAlignment="1">
      <alignment vertical="center"/>
    </xf>
    <xf numFmtId="0" fontId="5" fillId="0" borderId="0" xfId="0" applyFont="1" applyAlignment="1">
      <alignment vertical="center"/>
    </xf>
    <xf numFmtId="0" fontId="93" fillId="0" borderId="0" xfId="0" applyFont="1" applyAlignment="1">
      <alignment horizontal="center" vertical="center"/>
    </xf>
    <xf numFmtId="0" fontId="93" fillId="0" borderId="0" xfId="0" applyFont="1" applyAlignment="1">
      <alignment vertical="center"/>
    </xf>
    <xf numFmtId="0" fontId="93" fillId="0" borderId="0" xfId="0" applyFont="1" applyAlignment="1">
      <alignment horizontal="center"/>
    </xf>
    <xf numFmtId="0" fontId="93" fillId="0" borderId="0" xfId="0" applyFont="1"/>
    <xf numFmtId="0" fontId="94" fillId="0" borderId="0" xfId="8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80" fillId="22" borderId="0" xfId="7" applyFont="1" applyFill="1" applyAlignment="1" applyProtection="1">
      <alignment horizontal="center" vertical="center"/>
      <protection locked="0"/>
    </xf>
    <xf numFmtId="0" fontId="82" fillId="22" borderId="0" xfId="7" applyFont="1" applyFill="1" applyAlignment="1">
      <alignment horizontal="center" vertical="center"/>
    </xf>
    <xf numFmtId="4" fontId="82" fillId="22" borderId="0" xfId="7" applyNumberFormat="1" applyFont="1" applyFill="1" applyAlignment="1" applyProtection="1">
      <alignment horizontal="center" vertical="center"/>
      <protection locked="0"/>
    </xf>
    <xf numFmtId="10" fontId="82" fillId="22" borderId="0" xfId="7" applyNumberFormat="1" applyFont="1" applyFill="1" applyAlignment="1" applyProtection="1">
      <alignment horizontal="center" vertical="center"/>
      <protection locked="0"/>
    </xf>
    <xf numFmtId="0" fontId="95" fillId="0" borderId="10" xfId="6" applyFont="1" applyBorder="1" applyAlignment="1">
      <alignment horizontal="center" vertical="center"/>
    </xf>
    <xf numFmtId="4" fontId="57" fillId="22" borderId="59" xfId="0" applyNumberFormat="1" applyFont="1" applyFill="1" applyBorder="1" applyAlignment="1" applyProtection="1">
      <alignment horizontal="center" vertical="center"/>
      <protection locked="0"/>
    </xf>
    <xf numFmtId="0" fontId="57" fillId="22" borderId="59" xfId="0" applyFont="1" applyFill="1" applyBorder="1" applyAlignment="1" applyProtection="1">
      <alignment horizontal="center" vertical="center"/>
      <protection locked="0"/>
    </xf>
    <xf numFmtId="165" fontId="57" fillId="22" borderId="10" xfId="0" applyNumberFormat="1" applyFont="1" applyFill="1" applyBorder="1" applyAlignment="1" applyProtection="1">
      <alignment horizontal="center" vertical="center"/>
      <protection locked="0"/>
    </xf>
    <xf numFmtId="0" fontId="89" fillId="22" borderId="59" xfId="0" applyFont="1" applyFill="1" applyBorder="1" applyAlignment="1" applyProtection="1">
      <alignment horizontal="center" vertical="center"/>
      <protection locked="0"/>
    </xf>
    <xf numFmtId="0" fontId="49" fillId="20" borderId="59" xfId="7" applyFont="1" applyFill="1" applyBorder="1" applyAlignment="1">
      <alignment horizontal="left" vertical="center" indent="1"/>
    </xf>
    <xf numFmtId="0" fontId="50" fillId="21" borderId="59" xfId="0" applyFont="1" applyFill="1" applyBorder="1" applyAlignment="1">
      <alignment horizontal="center" vertical="center"/>
    </xf>
    <xf numFmtId="0" fontId="50" fillId="21" borderId="0" xfId="0" applyFont="1" applyFill="1" applyAlignment="1">
      <alignment horizontal="center" vertical="center"/>
    </xf>
    <xf numFmtId="0" fontId="96" fillId="0" borderId="7" xfId="6" applyFont="1" applyBorder="1" applyAlignment="1">
      <alignment horizontal="center" vertical="center"/>
    </xf>
    <xf numFmtId="0" fontId="97" fillId="0" borderId="7" xfId="6" applyFont="1" applyBorder="1" applyAlignment="1">
      <alignment horizontal="center" vertical="center"/>
    </xf>
    <xf numFmtId="0" fontId="97" fillId="0" borderId="68" xfId="6" applyFont="1" applyBorder="1" applyAlignment="1">
      <alignment horizontal="center" vertical="center"/>
    </xf>
    <xf numFmtId="0" fontId="97" fillId="0" borderId="69" xfId="6" applyFont="1" applyBorder="1" applyAlignment="1">
      <alignment horizontal="center" vertical="center"/>
    </xf>
    <xf numFmtId="0" fontId="49" fillId="20" borderId="29" xfId="0" applyFont="1" applyFill="1" applyBorder="1" applyAlignment="1">
      <alignment horizontal="center" vertical="center"/>
    </xf>
    <xf numFmtId="0" fontId="59" fillId="0" borderId="0" xfId="0" quotePrefix="1" applyFont="1" applyAlignment="1">
      <alignment horizontal="center" vertical="center"/>
    </xf>
    <xf numFmtId="0" fontId="97" fillId="0" borderId="49" xfId="6" applyFont="1" applyBorder="1" applyAlignment="1">
      <alignment horizontal="center" vertical="center"/>
    </xf>
    <xf numFmtId="3" fontId="57" fillId="22" borderId="0" xfId="0" applyNumberFormat="1" applyFont="1" applyFill="1" applyAlignment="1" applyProtection="1">
      <alignment horizontal="center" vertical="center"/>
      <protection locked="0"/>
    </xf>
    <xf numFmtId="0" fontId="57" fillId="22" borderId="76" xfId="0" applyFont="1" applyFill="1" applyBorder="1" applyAlignment="1" applyProtection="1">
      <alignment horizontal="center" vertical="center"/>
      <protection locked="0"/>
    </xf>
    <xf numFmtId="3" fontId="49" fillId="20" borderId="0" xfId="0" applyNumberFormat="1" applyFont="1" applyFill="1" applyAlignment="1">
      <alignment horizontal="center" vertical="center"/>
    </xf>
    <xf numFmtId="0" fontId="89" fillId="22" borderId="59" xfId="8" applyFont="1" applyFill="1" applyBorder="1" applyAlignment="1" applyProtection="1">
      <alignment horizontal="center" vertical="center"/>
      <protection locked="0"/>
    </xf>
    <xf numFmtId="0" fontId="98" fillId="0" borderId="10" xfId="0" applyFont="1" applyBorder="1" applyAlignment="1">
      <alignment vertical="center"/>
    </xf>
    <xf numFmtId="0" fontId="49" fillId="24" borderId="59" xfId="0" applyFont="1" applyFill="1" applyBorder="1" applyAlignment="1">
      <alignment horizontal="center" vertical="center"/>
    </xf>
    <xf numFmtId="0" fontId="49" fillId="23" borderId="59" xfId="0" applyFont="1" applyFill="1" applyBorder="1" applyAlignment="1">
      <alignment horizontal="center" vertical="center"/>
    </xf>
    <xf numFmtId="0" fontId="57" fillId="22" borderId="72" xfId="0" applyFont="1" applyFill="1" applyBorder="1" applyAlignment="1" applyProtection="1">
      <alignment horizontal="center" vertical="center"/>
      <protection locked="0"/>
    </xf>
    <xf numFmtId="0" fontId="91" fillId="22" borderId="0" xfId="0" applyFont="1" applyFill="1" applyAlignment="1">
      <alignment horizontal="center"/>
    </xf>
    <xf numFmtId="0" fontId="57" fillId="22" borderId="59" xfId="0" applyFont="1" applyFill="1" applyBorder="1" applyAlignment="1">
      <alignment horizontal="center" vertical="center"/>
    </xf>
    <xf numFmtId="0" fontId="80" fillId="22" borderId="0" xfId="7" applyFont="1" applyFill="1" applyAlignment="1">
      <alignment horizontal="center" vertical="center"/>
    </xf>
    <xf numFmtId="0" fontId="81" fillId="22" borderId="0" xfId="8" applyFont="1" applyFill="1" applyAlignment="1">
      <alignment horizontal="center" vertical="center"/>
    </xf>
    <xf numFmtId="4" fontId="81" fillId="22" borderId="0" xfId="8" applyNumberFormat="1" applyFont="1" applyFill="1" applyAlignment="1">
      <alignment horizontal="center" vertical="center"/>
    </xf>
    <xf numFmtId="0" fontId="49" fillId="21" borderId="59" xfId="0" applyFont="1" applyFill="1" applyBorder="1" applyAlignment="1">
      <alignment horizontal="center" vertical="center"/>
    </xf>
    <xf numFmtId="0" fontId="49" fillId="21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4" fontId="60" fillId="0" borderId="0" xfId="0" applyNumberFormat="1" applyFont="1" applyAlignment="1">
      <alignment horizontal="center" vertical="center"/>
    </xf>
    <xf numFmtId="0" fontId="99" fillId="0" borderId="0" xfId="0" quotePrefix="1" applyFont="1" applyAlignment="1">
      <alignment horizontal="left" vertical="center" indent="1"/>
    </xf>
    <xf numFmtId="0" fontId="99" fillId="0" borderId="0" xfId="0" quotePrefix="1" applyFont="1" applyAlignment="1">
      <alignment horizontal="center" vertical="center"/>
    </xf>
    <xf numFmtId="168" fontId="99" fillId="0" borderId="0" xfId="0" quotePrefix="1" applyNumberFormat="1" applyFont="1" applyAlignment="1">
      <alignment horizontal="center" vertical="center"/>
    </xf>
    <xf numFmtId="3" fontId="0" fillId="6" borderId="15" xfId="0" applyNumberFormat="1" applyFill="1" applyBorder="1" applyAlignment="1">
      <alignment horizontal="center" vertical="center"/>
    </xf>
    <xf numFmtId="2" fontId="66" fillId="0" borderId="33" xfId="0" applyNumberFormat="1" applyFont="1" applyBorder="1" applyAlignment="1">
      <alignment horizontal="center" vertical="center"/>
    </xf>
    <xf numFmtId="2" fontId="66" fillId="0" borderId="36" xfId="0" applyNumberFormat="1" applyFont="1" applyBorder="1" applyAlignment="1">
      <alignment horizontal="center" vertical="center"/>
    </xf>
    <xf numFmtId="2" fontId="66" fillId="0" borderId="0" xfId="0" applyNumberFormat="1" applyFont="1" applyAlignment="1">
      <alignment horizontal="center" vertical="center"/>
    </xf>
    <xf numFmtId="2" fontId="77" fillId="0" borderId="0" xfId="7" applyNumberFormat="1" applyFont="1" applyAlignment="1">
      <alignment horizontal="center" vertical="center"/>
    </xf>
    <xf numFmtId="169" fontId="65" fillId="0" borderId="0" xfId="0" applyNumberFormat="1" applyFont="1" applyAlignment="1">
      <alignment horizontal="center" vertical="center"/>
    </xf>
    <xf numFmtId="2" fontId="101" fillId="0" borderId="0" xfId="7" applyNumberFormat="1" applyFont="1" applyAlignment="1">
      <alignment horizontal="center" vertical="center"/>
    </xf>
    <xf numFmtId="164" fontId="57" fillId="22" borderId="59" xfId="0" applyNumberFormat="1" applyFont="1" applyFill="1" applyBorder="1" applyAlignment="1" applyProtection="1">
      <alignment horizontal="center" vertical="center"/>
      <protection locked="0"/>
    </xf>
    <xf numFmtId="3" fontId="0" fillId="0" borderId="0" xfId="0" applyNumberFormat="1" applyAlignment="1">
      <alignment vertical="center"/>
    </xf>
    <xf numFmtId="4" fontId="102" fillId="11" borderId="59" xfId="7" applyNumberFormat="1" applyFont="1" applyFill="1" applyBorder="1" applyAlignment="1">
      <alignment horizontal="center" vertical="center"/>
    </xf>
    <xf numFmtId="0" fontId="50" fillId="17" borderId="1" xfId="0" applyFont="1" applyFill="1" applyBorder="1" applyAlignment="1">
      <alignment horizontal="centerContinuous" vertical="center"/>
    </xf>
    <xf numFmtId="0" fontId="48" fillId="17" borderId="6" xfId="0" applyFont="1" applyFill="1" applyBorder="1" applyAlignment="1">
      <alignment horizontal="centerContinuous" vertical="center"/>
    </xf>
    <xf numFmtId="0" fontId="48" fillId="17" borderId="2" xfId="0" applyFont="1" applyFill="1" applyBorder="1" applyAlignment="1">
      <alignment horizontal="centerContinuous" vertical="center"/>
    </xf>
    <xf numFmtId="0" fontId="49" fillId="23" borderId="0" xfId="0" applyFont="1" applyFill="1" applyAlignment="1">
      <alignment horizontal="center" vertical="center"/>
    </xf>
    <xf numFmtId="0" fontId="53" fillId="0" borderId="0" xfId="0" applyFont="1"/>
    <xf numFmtId="0" fontId="48" fillId="0" borderId="0" xfId="0" applyFont="1" applyAlignment="1">
      <alignment horizontal="right" vertical="center"/>
    </xf>
    <xf numFmtId="10" fontId="77" fillId="0" borderId="0" xfId="2" applyNumberFormat="1" applyFont="1" applyFill="1" applyAlignment="1">
      <alignment horizontal="center" vertical="center"/>
    </xf>
    <xf numFmtId="0" fontId="105" fillId="0" borderId="0" xfId="0" applyFont="1" applyAlignment="1">
      <alignment horizontal="center" vertical="center"/>
    </xf>
    <xf numFmtId="0" fontId="60" fillId="0" borderId="18" xfId="0" applyFont="1" applyBorder="1" applyAlignment="1">
      <alignment vertical="center"/>
    </xf>
    <xf numFmtId="0" fontId="60" fillId="0" borderId="0" xfId="0" applyFont="1" applyAlignment="1">
      <alignment horizontal="center" vertical="center"/>
    </xf>
    <xf numFmtId="4" fontId="60" fillId="0" borderId="71" xfId="0" applyNumberFormat="1" applyFont="1" applyBorder="1" applyAlignment="1">
      <alignment horizontal="center" vertical="center"/>
    </xf>
    <xf numFmtId="0" fontId="71" fillId="0" borderId="32" xfId="0" applyFont="1" applyBorder="1" applyAlignment="1">
      <alignment horizontal="justify" vertical="justify" wrapText="1"/>
    </xf>
    <xf numFmtId="0" fontId="71" fillId="0" borderId="33" xfId="0" applyFont="1" applyBorder="1" applyAlignment="1">
      <alignment horizontal="justify" vertical="justify" wrapText="1"/>
    </xf>
    <xf numFmtId="0" fontId="71" fillId="0" borderId="77" xfId="0" applyFont="1" applyBorder="1" applyAlignment="1">
      <alignment horizontal="justify" vertical="justify" wrapText="1"/>
    </xf>
    <xf numFmtId="0" fontId="71" fillId="0" borderId="35" xfId="0" applyFont="1" applyBorder="1" applyAlignment="1">
      <alignment horizontal="justify" vertical="justify" wrapText="1"/>
    </xf>
    <xf numFmtId="0" fontId="71" fillId="0" borderId="36" xfId="0" applyFont="1" applyBorder="1" applyAlignment="1">
      <alignment horizontal="justify" vertical="justify" wrapText="1"/>
    </xf>
    <xf numFmtId="0" fontId="71" fillId="0" borderId="78" xfId="0" applyFont="1" applyBorder="1" applyAlignment="1">
      <alignment horizontal="justify" vertical="justify" wrapText="1"/>
    </xf>
    <xf numFmtId="0" fontId="7" fillId="21" borderId="49" xfId="0" applyFont="1" applyFill="1" applyBorder="1" applyAlignment="1">
      <alignment horizontal="center" vertical="center" wrapText="1"/>
    </xf>
    <xf numFmtId="0" fontId="7" fillId="21" borderId="50" xfId="0" applyFont="1" applyFill="1" applyBorder="1" applyAlignment="1">
      <alignment horizontal="center" vertical="center" wrapText="1"/>
    </xf>
    <xf numFmtId="0" fontId="7" fillId="21" borderId="51" xfId="0" applyFont="1" applyFill="1" applyBorder="1" applyAlignment="1">
      <alignment horizontal="center" vertical="center" wrapText="1"/>
    </xf>
    <xf numFmtId="0" fontId="7" fillId="17" borderId="49" xfId="0" applyFont="1" applyFill="1" applyBorder="1" applyAlignment="1">
      <alignment horizontal="center" vertical="center" wrapText="1"/>
    </xf>
    <xf numFmtId="0" fontId="7" fillId="17" borderId="50" xfId="0" applyFont="1" applyFill="1" applyBorder="1" applyAlignment="1">
      <alignment horizontal="center" vertical="center" wrapText="1"/>
    </xf>
    <xf numFmtId="0" fontId="7" fillId="17" borderId="51" xfId="0" applyFont="1" applyFill="1" applyBorder="1" applyAlignment="1">
      <alignment horizontal="center" vertical="center" wrapText="1"/>
    </xf>
    <xf numFmtId="0" fontId="18" fillId="16" borderId="52" xfId="0" applyFont="1" applyFill="1" applyBorder="1" applyAlignment="1">
      <alignment horizontal="center" vertical="center" wrapText="1"/>
    </xf>
    <xf numFmtId="0" fontId="18" fillId="16" borderId="53" xfId="0" applyFont="1" applyFill="1" applyBorder="1" applyAlignment="1">
      <alignment horizontal="center" vertical="center" wrapText="1"/>
    </xf>
    <xf numFmtId="0" fontId="18" fillId="16" borderId="54" xfId="0" applyFont="1" applyFill="1" applyBorder="1" applyAlignment="1">
      <alignment horizontal="center" vertical="center" wrapText="1"/>
    </xf>
    <xf numFmtId="0" fontId="63" fillId="16" borderId="49" xfId="0" applyFont="1" applyFill="1" applyBorder="1" applyAlignment="1">
      <alignment horizontal="center" vertical="center"/>
    </xf>
    <xf numFmtId="0" fontId="64" fillId="16" borderId="9" xfId="0" applyFont="1" applyFill="1" applyBorder="1" applyAlignment="1">
      <alignment horizontal="center" vertical="center"/>
    </xf>
    <xf numFmtId="0" fontId="64" fillId="16" borderId="51" xfId="0" applyFont="1" applyFill="1" applyBorder="1" applyAlignment="1">
      <alignment horizontal="center" vertical="center"/>
    </xf>
    <xf numFmtId="0" fontId="64" fillId="16" borderId="3" xfId="0" applyFont="1" applyFill="1" applyBorder="1" applyAlignment="1">
      <alignment horizontal="center" vertical="center"/>
    </xf>
    <xf numFmtId="0" fontId="63" fillId="16" borderId="55" xfId="0" applyFont="1" applyFill="1" applyBorder="1" applyAlignment="1">
      <alignment horizontal="center" vertical="center" wrapText="1"/>
    </xf>
    <xf numFmtId="0" fontId="63" fillId="16" borderId="56" xfId="0" applyFont="1" applyFill="1" applyBorder="1" applyAlignment="1">
      <alignment horizontal="center" vertical="center" wrapText="1"/>
    </xf>
    <xf numFmtId="0" fontId="63" fillId="16" borderId="57" xfId="0" applyFont="1" applyFill="1" applyBorder="1" applyAlignment="1">
      <alignment horizontal="center" vertical="center" wrapText="1"/>
    </xf>
    <xf numFmtId="0" fontId="63" fillId="16" borderId="58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justify" vertical="center" wrapText="1"/>
    </xf>
  </cellXfs>
  <cellStyles count="9">
    <cellStyle name="Hipervínculo" xfId="6" builtinId="8"/>
    <cellStyle name="Millares 2" xfId="4" xr:uid="{00000000-0005-0000-0000-000000000000}"/>
    <cellStyle name="Normal" xfId="0" builtinId="0"/>
    <cellStyle name="Normal 2" xfId="3" xr:uid="{00000000-0005-0000-0000-000002000000}"/>
    <cellStyle name="Normal 2 2" xfId="8" xr:uid="{B1FFBFFC-9EC3-4F10-9804-E5186A37A228}"/>
    <cellStyle name="Normal 3" xfId="5" xr:uid="{4358F70B-EA83-4FB3-9626-EE2AD8E3D892}"/>
    <cellStyle name="Normal 4" xfId="7" xr:uid="{B7C3AE68-CF1A-499C-9CFF-0DE777CA5FE8}"/>
    <cellStyle name="Normal_ECPAC-Nal (0304)" xfId="1" xr:uid="{00000000-0005-0000-0000-000003000000}"/>
    <cellStyle name="Porcentaje" xfId="2" builtinId="5"/>
  </cellStyles>
  <dxfs count="36">
    <dxf>
      <fill>
        <patternFill>
          <bgColor indexed="51"/>
        </patternFill>
      </fill>
    </dxf>
    <dxf>
      <fill>
        <patternFill patternType="darkUp">
          <bgColor theme="0" tint="-0.49998474074526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BECC4"/>
        </patternFill>
      </fill>
    </dxf>
    <dxf>
      <fill>
        <patternFill>
          <bgColor rgb="FFEBECC4"/>
        </patternFill>
      </fill>
    </dxf>
    <dxf>
      <fill>
        <patternFill>
          <bgColor indexed="51"/>
        </patternFill>
      </fill>
    </dxf>
    <dxf>
      <fill>
        <patternFill patternType="lightGray"/>
      </fill>
    </dxf>
    <dxf>
      <fill>
        <patternFill patternType="lightGray"/>
      </fill>
    </dxf>
    <dxf>
      <font>
        <b/>
        <i val="0"/>
        <color theme="0"/>
      </font>
      <fill>
        <patternFill>
          <bgColor rgb="FF000099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80008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80008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numFmt numFmtId="14" formatCode="0.00%"/>
    </dxf>
    <dxf>
      <numFmt numFmtId="14" formatCode="0.00%"/>
    </dxf>
    <dxf>
      <font>
        <color theme="0"/>
      </font>
      <border>
        <left/>
        <right/>
        <bottom/>
      </border>
    </dxf>
    <dxf>
      <font>
        <color theme="0"/>
      </font>
      <border>
        <left/>
        <right/>
      </border>
    </dxf>
    <dxf>
      <font>
        <b/>
        <i val="0"/>
        <color rgb="FFFFFF00"/>
      </font>
      <fill>
        <patternFill>
          <bgColor rgb="FF0000CC"/>
        </patternFill>
      </fill>
    </dxf>
    <dxf>
      <border>
        <bottom/>
        <vertical/>
        <horizontal/>
      </border>
    </dxf>
    <dxf>
      <font>
        <color theme="0"/>
      </font>
    </dxf>
    <dxf>
      <font>
        <b/>
        <i val="0"/>
        <color rgb="FFFFFF00"/>
      </font>
      <fill>
        <patternFill>
          <bgColor rgb="FF0000CC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rgb="FFFFFF00"/>
      </font>
      <fill>
        <patternFill>
          <bgColor rgb="FF33CC33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 val="0"/>
        <i val="0"/>
        <color theme="0"/>
      </font>
      <fill>
        <patternFill patternType="solid">
          <bgColor theme="0"/>
        </patternFill>
      </fill>
      <border>
        <left/>
        <right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4D4B34"/>
        </patternFill>
      </fill>
    </dxf>
    <dxf>
      <font>
        <b/>
        <i val="0"/>
        <color theme="0"/>
      </font>
      <fill>
        <patternFill>
          <bgColor rgb="FF4D4B34"/>
        </patternFill>
      </fill>
    </dxf>
    <dxf>
      <font>
        <b/>
        <i val="0"/>
        <color rgb="FFFFFF1D"/>
      </font>
      <fill>
        <patternFill>
          <bgColor rgb="FF0000CC"/>
        </patternFill>
      </fill>
    </dxf>
  </dxfs>
  <tableStyles count="0" defaultTableStyle="TableStyleMedium2" defaultPivotStyle="PivotStyleLight16"/>
  <colors>
    <mruColors>
      <color rgb="FFEBECC4"/>
      <color rgb="FFFFFF1D"/>
      <color rgb="FF0000CC"/>
      <color rgb="FF800080"/>
      <color rgb="FFCC00CC"/>
      <color rgb="FF57A354"/>
      <color rgb="FFA9A389"/>
      <color rgb="FFFF6600"/>
      <color rgb="FF4D4B34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95250</xdr:rowOff>
    </xdr:from>
    <xdr:to>
      <xdr:col>10</xdr:col>
      <xdr:colOff>651000</xdr:colOff>
      <xdr:row>28</xdr:row>
      <xdr:rowOff>75675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83B094BB-BDE8-DE63-0A0A-CA89DF511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57175"/>
          <a:ext cx="7737600" cy="435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116816</xdr:colOff>
      <xdr:row>31</xdr:row>
      <xdr:rowOff>143773</xdr:rowOff>
    </xdr:from>
    <xdr:to>
      <xdr:col>33</xdr:col>
      <xdr:colOff>368420</xdr:colOff>
      <xdr:row>33</xdr:row>
      <xdr:rowOff>134787</xdr:rowOff>
    </xdr:to>
    <xdr:sp macro="" textlink="">
      <xdr:nvSpPr>
        <xdr:cNvPr id="3" name="Flecha: hacia la izquierda 2">
          <a:extLst>
            <a:ext uri="{FF2B5EF4-FFF2-40B4-BE49-F238E27FC236}">
              <a16:creationId xmlns:a16="http://schemas.microsoft.com/office/drawing/2014/main" id="{E187EBAF-6712-1C2F-0D0D-A7AAC39C0310}"/>
            </a:ext>
          </a:extLst>
        </xdr:cNvPr>
        <xdr:cNvSpPr/>
      </xdr:nvSpPr>
      <xdr:spPr>
        <a:xfrm>
          <a:off x="20182217" y="5014103"/>
          <a:ext cx="404363" cy="296533"/>
        </a:xfrm>
        <a:prstGeom prst="leftArrow">
          <a:avLst/>
        </a:prstGeom>
        <a:solidFill>
          <a:srgbClr val="C00000"/>
        </a:solidFill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>
            <a:solidFill>
              <a:srgbClr val="FFC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11</xdr:row>
      <xdr:rowOff>219075</xdr:rowOff>
    </xdr:from>
    <xdr:to>
      <xdr:col>13</xdr:col>
      <xdr:colOff>971550</xdr:colOff>
      <xdr:row>15</xdr:row>
      <xdr:rowOff>28575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BACC6003-56DE-9F6D-6CCE-C97BB2E79D3B}"/>
            </a:ext>
          </a:extLst>
        </xdr:cNvPr>
        <xdr:cNvSpPr/>
      </xdr:nvSpPr>
      <xdr:spPr>
        <a:xfrm>
          <a:off x="8610600" y="2943225"/>
          <a:ext cx="942975" cy="800100"/>
        </a:xfrm>
        <a:prstGeom prst="ellipse">
          <a:avLst/>
        </a:prstGeom>
        <a:noFill/>
        <a:ln w="38100">
          <a:solidFill>
            <a:srgbClr val="99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14</xdr:col>
      <xdr:colOff>38100</xdr:colOff>
      <xdr:row>11</xdr:row>
      <xdr:rowOff>219075</xdr:rowOff>
    </xdr:from>
    <xdr:to>
      <xdr:col>14</xdr:col>
      <xdr:colOff>981075</xdr:colOff>
      <xdr:row>15</xdr:row>
      <xdr:rowOff>28575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608D53B3-1CFB-46CC-ADB2-4CD123894979}"/>
            </a:ext>
          </a:extLst>
        </xdr:cNvPr>
        <xdr:cNvSpPr/>
      </xdr:nvSpPr>
      <xdr:spPr>
        <a:xfrm>
          <a:off x="9620250" y="2943225"/>
          <a:ext cx="942975" cy="800100"/>
        </a:xfrm>
        <a:prstGeom prst="ellipse">
          <a:avLst/>
        </a:prstGeom>
        <a:noFill/>
        <a:ln w="38100">
          <a:solidFill>
            <a:srgbClr val="99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13</xdr:col>
      <xdr:colOff>28575</xdr:colOff>
      <xdr:row>19</xdr:row>
      <xdr:rowOff>228600</xdr:rowOff>
    </xdr:from>
    <xdr:to>
      <xdr:col>13</xdr:col>
      <xdr:colOff>971550</xdr:colOff>
      <xdr:row>23</xdr:row>
      <xdr:rowOff>38100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1F6877CE-3380-4368-90C5-2C67C459DB7E}"/>
            </a:ext>
          </a:extLst>
        </xdr:cNvPr>
        <xdr:cNvSpPr/>
      </xdr:nvSpPr>
      <xdr:spPr>
        <a:xfrm>
          <a:off x="8610600" y="4933950"/>
          <a:ext cx="942975" cy="800100"/>
        </a:xfrm>
        <a:prstGeom prst="ellipse">
          <a:avLst/>
        </a:prstGeom>
        <a:noFill/>
        <a:ln w="38100">
          <a:solidFill>
            <a:srgbClr val="CC00CC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2</xdr:row>
      <xdr:rowOff>152400</xdr:rowOff>
    </xdr:from>
    <xdr:to>
      <xdr:col>13</xdr:col>
      <xdr:colOff>742950</xdr:colOff>
      <xdr:row>5</xdr:row>
      <xdr:rowOff>152400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994FB0D8-DF19-68BE-C8A9-2953BD0F4A36}"/>
            </a:ext>
          </a:extLst>
        </xdr:cNvPr>
        <xdr:cNvSpPr/>
      </xdr:nvSpPr>
      <xdr:spPr>
        <a:xfrm>
          <a:off x="11010900" y="647700"/>
          <a:ext cx="609600" cy="742950"/>
        </a:xfrm>
        <a:prstGeom prst="rightArrow">
          <a:avLst/>
        </a:prstGeom>
        <a:solidFill>
          <a:srgbClr val="EBECC4"/>
        </a:solidFill>
        <a:ln>
          <a:solidFill>
            <a:srgbClr val="34507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11</xdr:col>
      <xdr:colOff>1838325</xdr:colOff>
      <xdr:row>6</xdr:row>
      <xdr:rowOff>95250</xdr:rowOff>
    </xdr:from>
    <xdr:to>
      <xdr:col>12</xdr:col>
      <xdr:colOff>714375</xdr:colOff>
      <xdr:row>7</xdr:row>
      <xdr:rowOff>219075</xdr:rowOff>
    </xdr:to>
    <xdr:sp macro="" textlink="">
      <xdr:nvSpPr>
        <xdr:cNvPr id="5" name="Flecha: hacia abajo 4">
          <a:extLst>
            <a:ext uri="{FF2B5EF4-FFF2-40B4-BE49-F238E27FC236}">
              <a16:creationId xmlns:a16="http://schemas.microsoft.com/office/drawing/2014/main" id="{4D18DB1D-8A7A-4D11-F705-5274E16C8E73}"/>
            </a:ext>
          </a:extLst>
        </xdr:cNvPr>
        <xdr:cNvSpPr/>
      </xdr:nvSpPr>
      <xdr:spPr>
        <a:xfrm>
          <a:off x="10096500" y="1581150"/>
          <a:ext cx="762000" cy="371475"/>
        </a:xfrm>
        <a:prstGeom prst="downArrow">
          <a:avLst/>
        </a:prstGeom>
        <a:solidFill>
          <a:srgbClr val="EBECC4"/>
        </a:solidFill>
        <a:ln>
          <a:solidFill>
            <a:srgbClr val="34507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 editAs="oneCell">
    <xdr:from>
      <xdr:col>14</xdr:col>
      <xdr:colOff>95249</xdr:colOff>
      <xdr:row>3</xdr:row>
      <xdr:rowOff>47625</xdr:rowOff>
    </xdr:from>
    <xdr:to>
      <xdr:col>18</xdr:col>
      <xdr:colOff>407792</xdr:colOff>
      <xdr:row>8</xdr:row>
      <xdr:rowOff>69375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2D22021-C488-69F2-0E2B-28C6E6883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3374" y="790575"/>
          <a:ext cx="3474843" cy="12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190499</xdr:colOff>
      <xdr:row>9</xdr:row>
      <xdr:rowOff>123824</xdr:rowOff>
    </xdr:from>
    <xdr:to>
      <xdr:col>15</xdr:col>
      <xdr:colOff>137313</xdr:colOff>
      <xdr:row>15</xdr:row>
      <xdr:rowOff>77924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54E35D1-98C2-833D-2A6E-90A67E30C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20049" y="2352674"/>
          <a:ext cx="4766464" cy="14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56887</xdr:colOff>
      <xdr:row>0</xdr:row>
      <xdr:rowOff>97802</xdr:rowOff>
    </xdr:from>
    <xdr:to>
      <xdr:col>14</xdr:col>
      <xdr:colOff>282053</xdr:colOff>
      <xdr:row>1</xdr:row>
      <xdr:rowOff>60305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5FC1A0B8-2872-4890-A31C-72958CEC107D}"/>
            </a:ext>
          </a:extLst>
        </xdr:cNvPr>
        <xdr:cNvSpPr/>
      </xdr:nvSpPr>
      <xdr:spPr>
        <a:xfrm>
          <a:off x="11653820" y="97802"/>
          <a:ext cx="225166" cy="207993"/>
        </a:xfrm>
        <a:prstGeom prst="ellipse">
          <a:avLst/>
        </a:prstGeom>
        <a:solidFill>
          <a:srgbClr val="34507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14</xdr:col>
      <xdr:colOff>376350</xdr:colOff>
      <xdr:row>0</xdr:row>
      <xdr:rowOff>85102</xdr:rowOff>
    </xdr:from>
    <xdr:to>
      <xdr:col>14</xdr:col>
      <xdr:colOff>585150</xdr:colOff>
      <xdr:row>1</xdr:row>
      <xdr:rowOff>47605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FD4EE96B-65B9-4E70-93CA-07455877B021}"/>
            </a:ext>
          </a:extLst>
        </xdr:cNvPr>
        <xdr:cNvSpPr/>
      </xdr:nvSpPr>
      <xdr:spPr>
        <a:xfrm>
          <a:off x="11973283" y="85102"/>
          <a:ext cx="208800" cy="207993"/>
        </a:xfrm>
        <a:prstGeom prst="ellipse">
          <a:avLst/>
        </a:prstGeom>
        <a:solidFill>
          <a:srgbClr val="57A35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12</xdr:col>
      <xdr:colOff>45824</xdr:colOff>
      <xdr:row>0</xdr:row>
      <xdr:rowOff>88277</xdr:rowOff>
    </xdr:from>
    <xdr:to>
      <xdr:col>12</xdr:col>
      <xdr:colOff>254624</xdr:colOff>
      <xdr:row>1</xdr:row>
      <xdr:rowOff>50780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168473E4-5912-4D47-90D6-0F60EF7E32C8}"/>
            </a:ext>
          </a:extLst>
        </xdr:cNvPr>
        <xdr:cNvSpPr/>
      </xdr:nvSpPr>
      <xdr:spPr>
        <a:xfrm>
          <a:off x="10268015" y="88277"/>
          <a:ext cx="208800" cy="207993"/>
        </a:xfrm>
        <a:prstGeom prst="ellipse">
          <a:avLst/>
        </a:prstGeom>
        <a:solidFill>
          <a:srgbClr val="8293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12</xdr:col>
      <xdr:colOff>378611</xdr:colOff>
      <xdr:row>0</xdr:row>
      <xdr:rowOff>88277</xdr:rowOff>
    </xdr:from>
    <xdr:to>
      <xdr:col>12</xdr:col>
      <xdr:colOff>587411</xdr:colOff>
      <xdr:row>1</xdr:row>
      <xdr:rowOff>50780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EE416037-9511-47FC-9D22-6506C35B6695}"/>
            </a:ext>
          </a:extLst>
        </xdr:cNvPr>
        <xdr:cNvSpPr/>
      </xdr:nvSpPr>
      <xdr:spPr>
        <a:xfrm>
          <a:off x="10600802" y="88277"/>
          <a:ext cx="208800" cy="207993"/>
        </a:xfrm>
        <a:prstGeom prst="ellipse">
          <a:avLst/>
        </a:prstGeom>
        <a:solidFill>
          <a:srgbClr val="A9A38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13</xdr:col>
      <xdr:colOff>34140</xdr:colOff>
      <xdr:row>0</xdr:row>
      <xdr:rowOff>88277</xdr:rowOff>
    </xdr:from>
    <xdr:to>
      <xdr:col>13</xdr:col>
      <xdr:colOff>236393</xdr:colOff>
      <xdr:row>1</xdr:row>
      <xdr:rowOff>50780</xdr:rowOff>
    </xdr:to>
    <xdr:sp macro="" textlink="">
      <xdr:nvSpPr>
        <xdr:cNvPr id="13" name="Elipse 12">
          <a:extLst>
            <a:ext uri="{FF2B5EF4-FFF2-40B4-BE49-F238E27FC236}">
              <a16:creationId xmlns:a16="http://schemas.microsoft.com/office/drawing/2014/main" id="{9698914E-1CF9-430C-977A-3953953E1642}"/>
            </a:ext>
          </a:extLst>
        </xdr:cNvPr>
        <xdr:cNvSpPr/>
      </xdr:nvSpPr>
      <xdr:spPr>
        <a:xfrm>
          <a:off x="10943702" y="88277"/>
          <a:ext cx="202253" cy="207993"/>
        </a:xfrm>
        <a:prstGeom prst="ellipse">
          <a:avLst/>
        </a:prstGeom>
        <a:solidFill>
          <a:srgbClr val="EBECC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13</xdr:col>
      <xdr:colOff>407708</xdr:colOff>
      <xdr:row>0</xdr:row>
      <xdr:rowOff>97802</xdr:rowOff>
    </xdr:from>
    <xdr:to>
      <xdr:col>13</xdr:col>
      <xdr:colOff>616508</xdr:colOff>
      <xdr:row>1</xdr:row>
      <xdr:rowOff>60305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F1BAFEDB-6AEF-4C10-AE92-BA680B8E5833}"/>
            </a:ext>
          </a:extLst>
        </xdr:cNvPr>
        <xdr:cNvSpPr/>
      </xdr:nvSpPr>
      <xdr:spPr>
        <a:xfrm>
          <a:off x="11317270" y="97802"/>
          <a:ext cx="208800" cy="207993"/>
        </a:xfrm>
        <a:prstGeom prst="ellipse">
          <a:avLst/>
        </a:prstGeom>
        <a:solidFill>
          <a:srgbClr val="4D4B3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_tradnl"/>
        </a:p>
      </xdr:txBody>
    </xdr:sp>
    <xdr:clientData/>
  </xdr:twoCellAnchor>
  <xdr:twoCellAnchor>
    <xdr:from>
      <xdr:col>13</xdr:col>
      <xdr:colOff>127656</xdr:colOff>
      <xdr:row>19</xdr:row>
      <xdr:rowOff>108016</xdr:rowOff>
    </xdr:from>
    <xdr:to>
      <xdr:col>14</xdr:col>
      <xdr:colOff>598995</xdr:colOff>
      <xdr:row>22</xdr:row>
      <xdr:rowOff>49098</xdr:rowOff>
    </xdr:to>
    <xdr:sp macro="" textlink="">
      <xdr:nvSpPr>
        <xdr:cNvPr id="2" name="Flecha: hacia arriba 1">
          <a:extLst>
            <a:ext uri="{FF2B5EF4-FFF2-40B4-BE49-F238E27FC236}">
              <a16:creationId xmlns:a16="http://schemas.microsoft.com/office/drawing/2014/main" id="{E0706893-2907-40EF-F4E5-BD19B4FE8430}"/>
            </a:ext>
          </a:extLst>
        </xdr:cNvPr>
        <xdr:cNvSpPr/>
      </xdr:nvSpPr>
      <xdr:spPr>
        <a:xfrm>
          <a:off x="10261470" y="3456495"/>
          <a:ext cx="1158711" cy="432062"/>
        </a:xfrm>
        <a:prstGeom prst="upArrow">
          <a:avLst/>
        </a:prstGeom>
        <a:solidFill>
          <a:srgbClr val="0000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13</xdr:col>
      <xdr:colOff>176752</xdr:colOff>
      <xdr:row>24</xdr:row>
      <xdr:rowOff>88376</xdr:rowOff>
    </xdr:from>
    <xdr:to>
      <xdr:col>14</xdr:col>
      <xdr:colOff>549896</xdr:colOff>
      <xdr:row>26</xdr:row>
      <xdr:rowOff>117835</xdr:rowOff>
    </xdr:to>
    <xdr:sp macro="" textlink="">
      <xdr:nvSpPr>
        <xdr:cNvPr id="3" name="Flecha: hacia abajo 2">
          <a:extLst>
            <a:ext uri="{FF2B5EF4-FFF2-40B4-BE49-F238E27FC236}">
              <a16:creationId xmlns:a16="http://schemas.microsoft.com/office/drawing/2014/main" id="{79882296-ABCC-E95C-25B7-318ACF6B994A}"/>
            </a:ext>
          </a:extLst>
        </xdr:cNvPr>
        <xdr:cNvSpPr/>
      </xdr:nvSpPr>
      <xdr:spPr>
        <a:xfrm>
          <a:off x="10310566" y="4271520"/>
          <a:ext cx="1060516" cy="363325"/>
        </a:xfrm>
        <a:prstGeom prst="downArrow">
          <a:avLst/>
        </a:prstGeom>
        <a:solidFill>
          <a:srgbClr val="0000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css.sa.cr/calculadora" TargetMode="External"/><Relationship Id="rId1" Type="http://schemas.openxmlformats.org/officeDocument/2006/relationships/hyperlink" Target="https://www.mtss.go.cr/temas-laborales/salarios/lista-salarios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www.icafe.cr/wp-content/uploads/cicafe/documentos/GuiaBPAsICAFEbaja.pdf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icafe.cr/wp-content/uploads/cicafe/documentos/GUIA-TECNICA.pdf" TargetMode="External"/><Relationship Id="rId1" Type="http://schemas.openxmlformats.org/officeDocument/2006/relationships/hyperlink" Target="https://www.icafe.cr/wp-content/uploads/cicafe/documentos/GUIA-TECNICA.pdf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crcafe.icafe.go.cr/icafe/f?p=105:500" TargetMode="External"/><Relationship Id="rId4" Type="http://schemas.openxmlformats.org/officeDocument/2006/relationships/hyperlink" Target="https://crcafe.icafe.go.cr/icafe/f?p=105" TargetMode="External"/><Relationship Id="rId9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icafe.cr/wp-content/uploads/cicafe/documentos/GuiaBPAsICAFEbaja.pdf" TargetMode="External"/><Relationship Id="rId1" Type="http://schemas.openxmlformats.org/officeDocument/2006/relationships/hyperlink" Target="https://www.icafe.cr/wp-content/uploads/cicafe/documentos/GUIA-TECNICA.pdf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afe.cr/wp-content/uploads/cicafe/documentos/GUIA-TECNICA.pdf" TargetMode="External"/><Relationship Id="rId3" Type="http://schemas.openxmlformats.org/officeDocument/2006/relationships/hyperlink" Target="https://www.icafe.cr/wp-content/uploads/cicafe/documentos/GUIA-TECNICA.pdf" TargetMode="External"/><Relationship Id="rId7" Type="http://schemas.openxmlformats.org/officeDocument/2006/relationships/hyperlink" Target="https://www.icafe.cr/wp-content/uploads/cicafe/documentos/GuiaBPAsICAFEbaja.pdf" TargetMode="External"/><Relationship Id="rId12" Type="http://schemas.openxmlformats.org/officeDocument/2006/relationships/comments" Target="../comments4.xml"/><Relationship Id="rId2" Type="http://schemas.openxmlformats.org/officeDocument/2006/relationships/hyperlink" Target="https://www.icafe.cr/wp-content/uploads/cicafe/documentos/GuiaBPAsICAFEbaja.pdf" TargetMode="External"/><Relationship Id="rId1" Type="http://schemas.openxmlformats.org/officeDocument/2006/relationships/hyperlink" Target="https://www.icafe.cr/wp-content/uploads/cicafe/documentos/GUIA-TECNICA.pdf" TargetMode="External"/><Relationship Id="rId6" Type="http://schemas.openxmlformats.org/officeDocument/2006/relationships/hyperlink" Target="https://www.icafe.cr/wp-content/uploads/cicafe/documentos/GUIA-TECNICA.pdf" TargetMode="External"/><Relationship Id="rId11" Type="http://schemas.openxmlformats.org/officeDocument/2006/relationships/vmlDrawing" Target="../drawings/vmlDrawing4.vml"/><Relationship Id="rId5" Type="http://schemas.openxmlformats.org/officeDocument/2006/relationships/hyperlink" Target="https://www.icafe.cr/wp-content/uploads/cicafe/documentos/GuiaBPAsICAFEbaja.pdf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https://www.icafe.cr/wp-content/uploads/cicafe/documentos/GUIA-TECNICA.pdf" TargetMode="External"/><Relationship Id="rId9" Type="http://schemas.openxmlformats.org/officeDocument/2006/relationships/hyperlink" Target="https://www.icafe.cr/wp-content/uploads/cicafe/documentos/GuiaBPAsICAFEbaja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icafe.cr/wp-content/uploads/cicafe/documentos/GUIA-TECNICA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2D16-3A0C-4249-9740-BE2BCD56AEDE}">
  <sheetPr>
    <tabColor theme="0"/>
  </sheetPr>
  <dimension ref="A1"/>
  <sheetViews>
    <sheetView showGridLines="0" tabSelected="1" workbookViewId="0">
      <selection activeCell="E34" sqref="E34"/>
    </sheetView>
  </sheetViews>
  <sheetFormatPr baseColWidth="10" defaultColWidth="10.7109375" defaultRowHeight="12.75"/>
  <sheetData/>
  <sheetProtection algorithmName="SHA-512" hashValue="xMbLE2fzLUwMCgBv96IVNrHWiSGAUpgnQkrhxIVhZGmH/rODBoCbvWiGN/NVwpH2r63j3pzlVh1rYESVpyXCXA==" saltValue="u+lmeAkIX1uj+30z/owfFA==" spinCount="100000" sheet="1" objects="1" scenarios="1"/>
  <printOptions horizontalCentered="1" verticalCentered="1"/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3F81B-CA77-46B3-B73F-21BEF0693DD2}">
  <dimension ref="B2:E28"/>
  <sheetViews>
    <sheetView workbookViewId="0">
      <selection activeCell="C4" sqref="C4:C22"/>
    </sheetView>
  </sheetViews>
  <sheetFormatPr baseColWidth="10" defaultColWidth="11.42578125" defaultRowHeight="15"/>
  <cols>
    <col min="1" max="1" width="11.42578125" style="368"/>
    <col min="2" max="2" width="22.140625" style="368" customWidth="1"/>
    <col min="3" max="3" width="17.7109375" style="369" customWidth="1"/>
    <col min="4" max="4" width="7.42578125" style="368" bestFit="1" customWidth="1"/>
    <col min="5" max="5" width="14.28515625" style="368" bestFit="1" customWidth="1"/>
    <col min="6" max="16384" width="11.42578125" style="368"/>
  </cols>
  <sheetData>
    <row r="2" spans="2:4">
      <c r="C2" s="369" t="s">
        <v>407</v>
      </c>
    </row>
    <row r="4" spans="2:4">
      <c r="B4" s="368" t="s">
        <v>395</v>
      </c>
      <c r="C4" s="370">
        <f>'R1-Estruc'!I11</f>
        <v>570591.38130726712</v>
      </c>
      <c r="D4" s="371">
        <f ca="1">C4/$C$24</f>
        <v>0.17275276125287856</v>
      </c>
    </row>
    <row r="5" spans="2:4">
      <c r="B5" s="368" t="s">
        <v>396</v>
      </c>
      <c r="C5" s="370">
        <f>'R1-Estruc'!I12</f>
        <v>259333.78280415293</v>
      </c>
      <c r="D5" s="371">
        <f t="shared" ref="D5" ca="1" si="0">C5/$C$24</f>
        <v>7.8516129989433303E-2</v>
      </c>
    </row>
    <row r="7" spans="2:4">
      <c r="B7" s="368" t="s">
        <v>217</v>
      </c>
      <c r="C7" s="370">
        <f>'R1-Estruc'!I15</f>
        <v>0</v>
      </c>
      <c r="D7" s="371">
        <f t="shared" ref="D7:D12" ca="1" si="1">C7/$C$24</f>
        <v>0</v>
      </c>
    </row>
    <row r="8" spans="2:4">
      <c r="B8" s="368" t="s">
        <v>397</v>
      </c>
      <c r="C8" s="370">
        <f>SUM('R1-Estruc'!I16:I17)</f>
        <v>431175.77105263143</v>
      </c>
      <c r="D8" s="371">
        <f t="shared" ca="1" si="1"/>
        <v>0.1305431653454461</v>
      </c>
    </row>
    <row r="9" spans="2:4">
      <c r="B9" s="368" t="s">
        <v>398</v>
      </c>
      <c r="C9" s="370">
        <f>'R1-Estruc'!I18</f>
        <v>72101.157226666677</v>
      </c>
      <c r="D9" s="371">
        <f t="shared" ca="1" si="1"/>
        <v>2.1829411394013235E-2</v>
      </c>
    </row>
    <row r="10" spans="2:4">
      <c r="B10" s="368" t="s">
        <v>399</v>
      </c>
      <c r="C10" s="370">
        <f>SUM('R1-Estruc'!I19:I23)</f>
        <v>182841.19220285059</v>
      </c>
      <c r="D10" s="371">
        <f t="shared" ca="1" si="1"/>
        <v>5.5357164266035923E-2</v>
      </c>
    </row>
    <row r="11" spans="2:4">
      <c r="B11" s="368" t="s">
        <v>400</v>
      </c>
      <c r="C11" s="370">
        <f>SUM('R1-Estruc'!I24:I26)</f>
        <v>30737.711541575878</v>
      </c>
      <c r="D11" s="371">
        <f t="shared" ca="1" si="1"/>
        <v>9.3061772703892705E-3</v>
      </c>
    </row>
    <row r="12" spans="2:4">
      <c r="B12" s="368" t="s">
        <v>401</v>
      </c>
      <c r="C12" s="370">
        <f>SUM('R1-Estruc'!I27:I28)</f>
        <v>15664.521317460316</v>
      </c>
      <c r="D12" s="371">
        <f t="shared" ca="1" si="1"/>
        <v>4.7426046027824629E-3</v>
      </c>
    </row>
    <row r="14" spans="2:4">
      <c r="B14" s="368" t="s">
        <v>209</v>
      </c>
      <c r="C14" s="370">
        <f>'R1-Estruc'!I33</f>
        <v>1267687.2</v>
      </c>
      <c r="D14" s="371">
        <f t="shared" ref="D14:D15" ca="1" si="2">C14/$C$24</f>
        <v>0.38380612007001047</v>
      </c>
    </row>
    <row r="15" spans="2:4">
      <c r="B15" s="368" t="s">
        <v>215</v>
      </c>
      <c r="C15" s="370">
        <f>SUM('R1-Estruc'!I36:I38)</f>
        <v>97726.433000000005</v>
      </c>
      <c r="D15" s="371">
        <f t="shared" ca="1" si="2"/>
        <v>2.9587743000017541E-2</v>
      </c>
    </row>
    <row r="19" spans="2:5">
      <c r="B19" s="368" t="s">
        <v>402</v>
      </c>
      <c r="C19" s="370">
        <f>'R1-Estruc'!I43</f>
        <v>190879.12050000002</v>
      </c>
      <c r="D19" s="371">
        <f t="shared" ref="D19:D22" ca="1" si="3">C19/$C$24</f>
        <v>5.7790734687138128E-2</v>
      </c>
    </row>
    <row r="20" spans="2:5">
      <c r="B20" s="368" t="s">
        <v>63</v>
      </c>
      <c r="C20" s="370">
        <f ca="1">'R1-Estruc'!I44</f>
        <v>26831.09303700849</v>
      </c>
      <c r="D20" s="371">
        <f t="shared" ca="1" si="3"/>
        <v>8.1234059283486516E-3</v>
      </c>
    </row>
    <row r="21" spans="2:5">
      <c r="B21" s="368" t="s">
        <v>61</v>
      </c>
      <c r="C21" s="370">
        <f ca="1">'R1-Estruc'!I47</f>
        <v>104872.604228375</v>
      </c>
      <c r="D21" s="371">
        <f t="shared" ca="1" si="3"/>
        <v>3.1751324246652002E-2</v>
      </c>
    </row>
    <row r="22" spans="2:5">
      <c r="B22" s="368" t="s">
        <v>403</v>
      </c>
      <c r="C22" s="370">
        <f>'R1-Estruc'!I52</f>
        <v>52494.42</v>
      </c>
      <c r="D22" s="371">
        <f t="shared" ca="1" si="3"/>
        <v>1.5893257946854363E-2</v>
      </c>
    </row>
    <row r="24" spans="2:5">
      <c r="B24" s="372" t="s">
        <v>404</v>
      </c>
      <c r="C24" s="373">
        <f ca="1">SUM(C4:C23)</f>
        <v>3302936.3882179884</v>
      </c>
      <c r="E24" s="369" t="b">
        <f ca="1">C24='R1-Estruc'!I54</f>
        <v>1</v>
      </c>
    </row>
    <row r="26" spans="2:5">
      <c r="B26" s="374" t="s">
        <v>405</v>
      </c>
      <c r="C26" s="375">
        <f>TECNICO!M4</f>
        <v>40</v>
      </c>
    </row>
    <row r="28" spans="2:5">
      <c r="B28" s="372" t="s">
        <v>406</v>
      </c>
      <c r="C28" s="373">
        <f ca="1">C24/C26</f>
        <v>82573.409705449711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D4B34"/>
  </sheetPr>
  <dimension ref="A1:S46"/>
  <sheetViews>
    <sheetView showGridLines="0" zoomScale="120" zoomScaleNormal="120" workbookViewId="0">
      <selection activeCell="H2" sqref="H2"/>
    </sheetView>
  </sheetViews>
  <sheetFormatPr baseColWidth="10" defaultColWidth="10.7109375" defaultRowHeight="14.25"/>
  <cols>
    <col min="1" max="1" width="9.140625" style="558" customWidth="1"/>
    <col min="2" max="2" width="1.85546875" customWidth="1"/>
    <col min="3" max="3" width="1.5703125" customWidth="1"/>
    <col min="4" max="4" width="27.85546875" style="36" customWidth="1"/>
    <col min="5" max="5" width="5.7109375" style="36" customWidth="1"/>
    <col min="6" max="6" width="12.42578125" customWidth="1"/>
    <col min="7" max="7" width="13.28515625" customWidth="1"/>
    <col min="8" max="8" width="16.140625" customWidth="1"/>
    <col min="9" max="9" width="1.5703125" customWidth="1"/>
    <col min="10" max="10" width="19.140625" customWidth="1"/>
    <col min="11" max="11" width="4.42578125" customWidth="1"/>
    <col min="12" max="12" width="10.7109375" style="568" hidden="1" customWidth="1"/>
    <col min="13" max="13" width="2.5703125" style="531" hidden="1" customWidth="1"/>
    <col min="14" max="17" width="7.28515625" style="16" customWidth="1"/>
  </cols>
  <sheetData>
    <row r="1" spans="1:19" ht="23.25">
      <c r="C1" s="54" t="s">
        <v>95</v>
      </c>
      <c r="E1" s="35"/>
      <c r="F1" s="37"/>
      <c r="G1" s="37"/>
      <c r="H1" s="37"/>
      <c r="J1" s="37"/>
      <c r="N1" s="760" t="str">
        <f>FICHA!L11</f>
        <v>A</v>
      </c>
      <c r="O1" s="543" t="str">
        <f>_xlfn.CONCAT("  =&gt; Fincas de ",LOOKUP(N1,N3:Q3,N5:Q5)," ha")</f>
        <v xml:space="preserve">  =&gt; Fincas de 1.5 a 6.0 ha</v>
      </c>
    </row>
    <row r="2" spans="1:19" ht="27">
      <c r="C2" s="53" t="s">
        <v>109</v>
      </c>
      <c r="E2" s="35"/>
      <c r="F2" s="37"/>
      <c r="G2" s="37"/>
      <c r="H2" s="37"/>
      <c r="J2" s="37"/>
      <c r="N2" s="815" t="s">
        <v>437</v>
      </c>
      <c r="O2" s="815"/>
      <c r="P2" s="815"/>
      <c r="Q2" s="815"/>
      <c r="R2" s="815"/>
      <c r="S2" s="815"/>
    </row>
    <row r="3" spans="1:19" ht="15" thickBot="1">
      <c r="N3" s="179" t="s">
        <v>429</v>
      </c>
      <c r="O3" s="179" t="s">
        <v>430</v>
      </c>
      <c r="P3" s="179" t="s">
        <v>431</v>
      </c>
      <c r="Q3" s="179" t="s">
        <v>432</v>
      </c>
    </row>
    <row r="4" spans="1:19" ht="16.5" thickTop="1" thickBot="1">
      <c r="A4" s="559" t="s">
        <v>438</v>
      </c>
      <c r="C4" s="807" t="s">
        <v>87</v>
      </c>
      <c r="D4" s="808"/>
      <c r="E4" s="808"/>
      <c r="F4" s="811" t="s">
        <v>36</v>
      </c>
      <c r="G4" s="813" t="s">
        <v>10</v>
      </c>
      <c r="H4" s="503" t="s">
        <v>141</v>
      </c>
      <c r="I4" s="36"/>
      <c r="J4" s="501" t="s">
        <v>151</v>
      </c>
      <c r="K4" s="36"/>
      <c r="L4" s="569" t="s">
        <v>94</v>
      </c>
      <c r="N4" s="542" t="s">
        <v>428</v>
      </c>
      <c r="O4" s="526"/>
      <c r="P4" s="526"/>
      <c r="Q4" s="527"/>
    </row>
    <row r="5" spans="1:19" ht="16.5" thickTop="1" thickBot="1">
      <c r="A5" s="560" t="s">
        <v>439</v>
      </c>
      <c r="C5" s="809"/>
      <c r="D5" s="810"/>
      <c r="E5" s="810"/>
      <c r="F5" s="812"/>
      <c r="G5" s="814"/>
      <c r="H5" s="504" t="s">
        <v>122</v>
      </c>
      <c r="I5" s="36"/>
      <c r="J5" s="502" t="s">
        <v>92</v>
      </c>
      <c r="K5" s="36"/>
      <c r="L5" s="566" t="str">
        <f>_xlfn.CONCAT("Año ",MID(FICHA!D36,9,4)-5)</f>
        <v>Año 2021</v>
      </c>
      <c r="N5" s="528" t="s">
        <v>433</v>
      </c>
      <c r="O5" s="529" t="s">
        <v>434</v>
      </c>
      <c r="P5" s="529" t="s">
        <v>435</v>
      </c>
      <c r="Q5" s="530" t="s">
        <v>436</v>
      </c>
    </row>
    <row r="6" spans="1:19" ht="25.5" customHeight="1" thickTop="1" thickBot="1">
      <c r="A6" s="561">
        <f>IF(UNIT!Z1=1,UNIT!AD106,UNIT!AF106)</f>
        <v>2.46E-2</v>
      </c>
      <c r="C6" s="47" t="s">
        <v>193</v>
      </c>
      <c r="D6" s="48"/>
      <c r="E6" s="48"/>
      <c r="F6" s="49"/>
      <c r="G6" s="50"/>
      <c r="H6" s="51"/>
      <c r="I6" s="36"/>
      <c r="J6" s="52">
        <f ca="1">IF(SUM(J7:J8)=0,"-",SUM(J7:J8))</f>
        <v>468668.06436636311</v>
      </c>
      <c r="K6" s="36"/>
      <c r="L6" s="570">
        <v>426200</v>
      </c>
      <c r="N6" s="531"/>
      <c r="O6" s="531"/>
      <c r="P6" s="531"/>
      <c r="Q6" s="531"/>
    </row>
    <row r="7" spans="1:19" ht="14.1" customHeight="1">
      <c r="C7" s="42"/>
      <c r="D7" s="42" t="s">
        <v>96</v>
      </c>
      <c r="E7" s="42"/>
      <c r="F7" s="41" t="str">
        <f ca="1">LOOKUP($N$1,$N$3:$Q$3,N7)</f>
        <v>-</v>
      </c>
      <c r="G7" s="45" t="s">
        <v>93</v>
      </c>
      <c r="H7" s="57">
        <f>IF(UNIT!$Z$1=1,UNIT!AD77,UNIT!AF77)</f>
        <v>77081.344593924267</v>
      </c>
      <c r="I7" s="42"/>
      <c r="J7" s="43" t="str">
        <f ca="1">IF(F7="-","-",F7*H7)</f>
        <v>-</v>
      </c>
      <c r="K7" s="36"/>
      <c r="N7" s="532" t="s">
        <v>27</v>
      </c>
      <c r="O7" s="532">
        <v>8.5953999999999997</v>
      </c>
      <c r="P7" s="532">
        <v>12.8926</v>
      </c>
      <c r="Q7" s="533">
        <v>7.1657000000000002</v>
      </c>
    </row>
    <row r="8" spans="1:19" ht="14.1" customHeight="1">
      <c r="C8" s="42"/>
      <c r="D8" s="42" t="s">
        <v>97</v>
      </c>
      <c r="E8" s="510"/>
      <c r="F8" s="544">
        <f t="shared" ref="F8" ca="1" si="0">LOOKUP($N$1,$N$3:$Q$3,N8)</f>
        <v>8.1068999999999996</v>
      </c>
      <c r="G8" s="40" t="s">
        <v>93</v>
      </c>
      <c r="H8" s="57">
        <f>IF(UNIT!$Z$1=1,UNIT!AD78,UNIT!AF78)</f>
        <v>57811.008445443156</v>
      </c>
      <c r="I8" s="44"/>
      <c r="J8" s="43">
        <f ca="1">IF(F8="-","-",F8*H8)</f>
        <v>468668.06436636311</v>
      </c>
      <c r="K8" s="36"/>
      <c r="N8" s="534">
        <v>8.1068999999999996</v>
      </c>
      <c r="O8" s="534">
        <v>3.4584000000000001</v>
      </c>
      <c r="P8" s="534">
        <v>3.5495999999999999</v>
      </c>
      <c r="Q8" s="535">
        <v>1.7603</v>
      </c>
    </row>
    <row r="9" spans="1:19" ht="6" customHeight="1">
      <c r="C9" s="36"/>
      <c r="D9" s="48"/>
      <c r="E9" s="48"/>
      <c r="F9" s="38"/>
      <c r="G9" s="39"/>
      <c r="H9" s="55"/>
      <c r="I9" s="42"/>
      <c r="J9" s="43"/>
      <c r="K9" s="36"/>
      <c r="N9" s="536"/>
      <c r="O9" s="536"/>
      <c r="P9" s="536"/>
      <c r="Q9" s="536"/>
    </row>
    <row r="10" spans="1:19" ht="19.5" customHeight="1">
      <c r="A10" s="562">
        <f ca="1">SUMPRODUCT(A11:A13,J11:J13)/J10</f>
        <v>5.4799999999999995E-2</v>
      </c>
      <c r="C10" s="47" t="s">
        <v>110</v>
      </c>
      <c r="D10" s="48"/>
      <c r="E10" s="48"/>
      <c r="F10" s="49"/>
      <c r="G10" s="50"/>
      <c r="H10" s="51"/>
      <c r="I10" s="36"/>
      <c r="J10" s="52">
        <f ca="1">IF(SUM(J11:J13)=0,"-",SUM(J11:J13))</f>
        <v>1623507.6782564165</v>
      </c>
      <c r="K10" s="36"/>
      <c r="N10" s="537"/>
      <c r="O10" s="537"/>
      <c r="P10" s="537"/>
      <c r="Q10" s="537"/>
    </row>
    <row r="11" spans="1:19" ht="14.1" customHeight="1">
      <c r="A11" s="563">
        <f>IF(UNIT!$Z$1=1,UNIT!AD108,UNIT!AF108)</f>
        <v>6.8099999999999994E-2</v>
      </c>
      <c r="C11" s="42"/>
      <c r="D11" s="42" t="str">
        <f>_xlfn.CONCAT("Tractor (60- 80 CV, ",MID(FICHA!D36,9,4)-28,")")</f>
        <v>Tractor (60- 80 CV, 1998)</v>
      </c>
      <c r="E11" s="42"/>
      <c r="F11" s="41" t="str">
        <f t="shared" ref="F11:F13" ca="1" si="1">LOOKUP($N$1,$N$3:$Q$3,N11)</f>
        <v>-</v>
      </c>
      <c r="G11" s="45" t="s">
        <v>11</v>
      </c>
      <c r="H11" s="57">
        <f>IF(UNIT!$Z$1=1,UNIT!AD79,UNIT!AF79)</f>
        <v>5749108.6189876813</v>
      </c>
      <c r="I11" s="42"/>
      <c r="J11" s="43" t="str">
        <f ca="1">IF(F11="-","-",F11*H11)</f>
        <v>-</v>
      </c>
      <c r="K11" s="36"/>
      <c r="N11" s="532" t="s">
        <v>27</v>
      </c>
      <c r="O11" s="532" t="s">
        <v>27</v>
      </c>
      <c r="P11" s="532" t="s">
        <v>27</v>
      </c>
      <c r="Q11" s="533">
        <v>3.0800000000000001E-2</v>
      </c>
    </row>
    <row r="12" spans="1:19" ht="14.1" customHeight="1">
      <c r="A12" s="564">
        <f>IF(UNIT!$Z$1=1,UNIT!AD109,UNIT!AF109)</f>
        <v>5.4800000000000001E-2</v>
      </c>
      <c r="C12" s="42"/>
      <c r="D12" s="42" t="str">
        <f>_xlfn.CONCAT("Pick up (4x2 &amp; 4x4, ",MID(FICHA!D36,9,4)-22,")")</f>
        <v>Pick up (4x2 &amp; 4x4, 2004)</v>
      </c>
      <c r="E12" s="42"/>
      <c r="F12" s="46">
        <f t="shared" ca="1" si="1"/>
        <v>0.2281</v>
      </c>
      <c r="G12" s="45" t="s">
        <v>11</v>
      </c>
      <c r="H12" s="57">
        <f>IF(UNIT!$Z$1=1,UNIT!AD80,UNIT!AF80)</f>
        <v>7117525.9897256307</v>
      </c>
      <c r="I12" s="42"/>
      <c r="J12" s="43">
        <f ca="1">IF(F12="-","-",F12*H12)</f>
        <v>1623507.6782564165</v>
      </c>
      <c r="K12" s="36"/>
      <c r="N12" s="538">
        <v>0.2281</v>
      </c>
      <c r="O12" s="538">
        <v>0.10780000000000001</v>
      </c>
      <c r="P12" s="538">
        <v>8.5699999999999998E-2</v>
      </c>
      <c r="Q12" s="539">
        <v>3.9800000000000002E-2</v>
      </c>
    </row>
    <row r="13" spans="1:19" ht="14.1" customHeight="1">
      <c r="A13" s="565">
        <f>IF(UNIT!$Z$1=1,UNIT!AD110,UNIT!AF110)</f>
        <v>2.1899999999999999E-2</v>
      </c>
      <c r="C13" s="42"/>
      <c r="D13" s="42" t="s">
        <v>88</v>
      </c>
      <c r="E13" s="42"/>
      <c r="F13" s="41" t="str">
        <f t="shared" ca="1" si="1"/>
        <v>-</v>
      </c>
      <c r="G13" s="45" t="s">
        <v>11</v>
      </c>
      <c r="H13" s="57">
        <f>IF(UNIT!$Z$1=1,UNIT!AD81,UNIT!AF81)</f>
        <v>1031312.8504692694</v>
      </c>
      <c r="I13" s="42"/>
      <c r="J13" s="43" t="str">
        <f ca="1">IF(F13="-","-",F13*H13)</f>
        <v>-</v>
      </c>
      <c r="K13" s="36"/>
      <c r="N13" s="540" t="s">
        <v>27</v>
      </c>
      <c r="O13" s="540" t="s">
        <v>27</v>
      </c>
      <c r="P13" s="540" t="s">
        <v>27</v>
      </c>
      <c r="Q13" s="541">
        <v>7.5499999999999998E-2</v>
      </c>
    </row>
    <row r="14" spans="1:19" ht="6" customHeight="1">
      <c r="C14" s="36"/>
      <c r="D14" s="48"/>
      <c r="E14" s="48"/>
      <c r="F14" s="38"/>
      <c r="G14" s="39"/>
      <c r="H14" s="55"/>
      <c r="I14" s="42"/>
      <c r="J14" s="43"/>
      <c r="K14" s="36"/>
      <c r="N14" s="536"/>
      <c r="O14" s="536"/>
      <c r="P14" s="536"/>
      <c r="Q14" s="536"/>
    </row>
    <row r="15" spans="1:19" ht="19.5" customHeight="1">
      <c r="A15" s="561">
        <f>IF(UNIT!$Z$1=1,UNIT!AD111,UNIT!AF111)</f>
        <v>2.4199999999999999E-2</v>
      </c>
      <c r="C15" s="47" t="s">
        <v>111</v>
      </c>
      <c r="D15" s="48"/>
      <c r="E15" s="48"/>
      <c r="F15" s="49"/>
      <c r="G15" s="50"/>
      <c r="H15" s="51"/>
      <c r="I15" s="36"/>
      <c r="J15" s="52">
        <f ca="1">IF(SUM(J16:J19)=0,"-",SUM(J16:J19))</f>
        <v>151143.91427849414</v>
      </c>
      <c r="K15" s="36"/>
      <c r="N15" s="537"/>
      <c r="O15" s="537"/>
      <c r="P15" s="537"/>
      <c r="Q15" s="537"/>
    </row>
    <row r="16" spans="1:19" ht="14.1" customHeight="1">
      <c r="C16" s="42"/>
      <c r="D16" s="42" t="s">
        <v>414</v>
      </c>
      <c r="E16" s="42"/>
      <c r="F16" s="46" t="str">
        <f t="shared" ref="F16:F39" ca="1" si="2">LOOKUP($N$1,$N$3:$Q$3,N16)</f>
        <v>-</v>
      </c>
      <c r="G16" s="45" t="s">
        <v>11</v>
      </c>
      <c r="H16" s="57">
        <f>IF(UNIT!$Z$1=1,UNIT!AD82,UNIT!AF82)</f>
        <v>321960.42516363633</v>
      </c>
      <c r="I16" s="42"/>
      <c r="J16" s="43" t="str">
        <f ca="1">IF(F16="-","-",F16*H16)</f>
        <v>-</v>
      </c>
      <c r="K16" s="36"/>
      <c r="L16" s="567" t="str">
        <f>IF(SUM(H16)&gt;($L$6*25%),"SI","NO")</f>
        <v>SI</v>
      </c>
      <c r="N16" s="532" t="s">
        <v>27</v>
      </c>
      <c r="O16" s="532">
        <v>0.15129999999999999</v>
      </c>
      <c r="P16" s="532">
        <v>0.13450000000000001</v>
      </c>
      <c r="Q16" s="533">
        <v>8.4599999999999995E-2</v>
      </c>
    </row>
    <row r="17" spans="1:17" ht="14.1" customHeight="1">
      <c r="C17" s="42"/>
      <c r="D17" s="42" t="s">
        <v>89</v>
      </c>
      <c r="E17" s="42"/>
      <c r="F17" s="46" t="str">
        <f t="shared" ca="1" si="2"/>
        <v>-</v>
      </c>
      <c r="G17" s="45" t="s">
        <v>11</v>
      </c>
      <c r="H17" s="57">
        <f>IF(UNIT!$Z$1=1,UNIT!AD83,UNIT!AF83)</f>
        <v>309564.54733333341</v>
      </c>
      <c r="I17" s="42"/>
      <c r="J17" s="43" t="str">
        <f ca="1">IF(F17="-","-",F17*H17)</f>
        <v>-</v>
      </c>
      <c r="K17" s="36"/>
      <c r="L17" s="567" t="str">
        <f>IF(SUM(H17)&gt;($L$6*25%),"SI","NO")</f>
        <v>SI</v>
      </c>
      <c r="N17" s="538" t="s">
        <v>27</v>
      </c>
      <c r="O17" s="538">
        <v>0.13389999999999999</v>
      </c>
      <c r="P17" s="538">
        <v>8.4900000000000003E-2</v>
      </c>
      <c r="Q17" s="539">
        <v>5.0700000000000002E-2</v>
      </c>
    </row>
    <row r="18" spans="1:17" ht="14.1" customHeight="1">
      <c r="C18" s="42"/>
      <c r="D18" s="42" t="s">
        <v>90</v>
      </c>
      <c r="E18" s="42"/>
      <c r="F18" s="46">
        <f t="shared" ca="1" si="2"/>
        <v>0.34239999999999998</v>
      </c>
      <c r="G18" s="45" t="s">
        <v>11</v>
      </c>
      <c r="H18" s="57">
        <f>IF(UNIT!$Z$1=1,UNIT!AD84,UNIT!AF84)</f>
        <v>337336.25450000004</v>
      </c>
      <c r="I18" s="42"/>
      <c r="J18" s="43">
        <f ca="1">IF(F18="-","-",F18*H18)</f>
        <v>115503.9335408</v>
      </c>
      <c r="K18" s="36"/>
      <c r="L18" s="567" t="str">
        <f>IF(SUM(H18)&gt;($L$6*25%),"SI","NO")</f>
        <v>SI</v>
      </c>
      <c r="N18" s="538">
        <v>0.34239999999999998</v>
      </c>
      <c r="O18" s="538">
        <v>0.14000000000000001</v>
      </c>
      <c r="P18" s="538">
        <v>8.5800000000000001E-2</v>
      </c>
      <c r="Q18" s="539">
        <v>5.4199999999999998E-2</v>
      </c>
    </row>
    <row r="19" spans="1:17" ht="14.1" customHeight="1">
      <c r="C19" s="42"/>
      <c r="D19" s="42" t="s">
        <v>37</v>
      </c>
      <c r="E19" s="42"/>
      <c r="F19" s="46">
        <f t="shared" ca="1" si="2"/>
        <v>0.63739999999999997</v>
      </c>
      <c r="G19" s="45" t="s">
        <v>11</v>
      </c>
      <c r="H19" s="57">
        <f>IF(UNIT!$Z$1=1,UNIT!AD85,UNIT!AF85)</f>
        <v>55914.623058823534</v>
      </c>
      <c r="I19" s="42"/>
      <c r="J19" s="43">
        <f ca="1">IF(F19="-","-",F19*H19)</f>
        <v>35639.980737694117</v>
      </c>
      <c r="K19" s="36"/>
      <c r="L19" s="567" t="str">
        <f>IF(SUM(H19)&gt;($L$6*25%),"SI","NO")</f>
        <v>NO</v>
      </c>
      <c r="N19" s="540">
        <v>0.63739999999999997</v>
      </c>
      <c r="O19" s="540">
        <v>0.34660000000000002</v>
      </c>
      <c r="P19" s="540">
        <v>0.34089999999999998</v>
      </c>
      <c r="Q19" s="541">
        <v>0.20419999999999999</v>
      </c>
    </row>
    <row r="20" spans="1:17" ht="6" customHeight="1">
      <c r="C20" s="36"/>
      <c r="D20" s="48"/>
      <c r="E20" s="48"/>
      <c r="F20" s="38"/>
      <c r="G20" s="39"/>
      <c r="H20" s="55"/>
      <c r="I20" s="42"/>
      <c r="J20" s="43"/>
      <c r="K20" s="36"/>
      <c r="N20" s="536"/>
      <c r="O20" s="536"/>
      <c r="P20" s="536"/>
      <c r="Q20" s="536"/>
    </row>
    <row r="21" spans="1:17" ht="19.5" customHeight="1">
      <c r="A21" s="561">
        <f>IF(UNIT!$Z$1=1,UNIT!AD112,UNIT!AF112)</f>
        <v>9.7000000000000003E-3</v>
      </c>
      <c r="C21" s="47" t="s">
        <v>112</v>
      </c>
      <c r="D21" s="48"/>
      <c r="E21" s="48"/>
      <c r="F21" s="49"/>
      <c r="G21" s="50"/>
      <c r="H21" s="51"/>
      <c r="I21" s="36"/>
      <c r="J21" s="52">
        <f ca="1">IF(SUM(J22:J39)=0,"-",SUM(J22:J39))</f>
        <v>73965.603192915223</v>
      </c>
      <c r="K21" s="36"/>
      <c r="N21" s="537"/>
      <c r="O21" s="537"/>
      <c r="P21" s="537"/>
      <c r="Q21" s="537"/>
    </row>
    <row r="22" spans="1:17" ht="14.1" customHeight="1">
      <c r="C22" s="42"/>
      <c r="D22" s="42" t="s">
        <v>415</v>
      </c>
      <c r="E22" s="42"/>
      <c r="F22" s="46">
        <f t="shared" ca="1" si="2"/>
        <v>0.7228</v>
      </c>
      <c r="G22" s="45" t="s">
        <v>11</v>
      </c>
      <c r="H22" s="57">
        <f>IF(UNIT!$Z$1=1,UNIT!AD86,UNIT!AF86)</f>
        <v>21334.8315</v>
      </c>
      <c r="I22" s="42"/>
      <c r="J22" s="43">
        <f t="shared" ref="J22:J39" ca="1" si="3">IF(F22="-","-",F22*H22)</f>
        <v>15420.8162082</v>
      </c>
      <c r="K22" s="36"/>
      <c r="L22" s="567" t="str">
        <f t="shared" ref="L22:L39" si="4">IF(SUM(H22)&gt;($L$6*25%),"SI","NO")</f>
        <v>NO</v>
      </c>
      <c r="N22" s="532">
        <v>0.7228</v>
      </c>
      <c r="O22" s="532">
        <v>0.44629999999999997</v>
      </c>
      <c r="P22" s="532">
        <v>0.38340000000000002</v>
      </c>
      <c r="Q22" s="533">
        <v>0.1908</v>
      </c>
    </row>
    <row r="23" spans="1:17" ht="14.1" customHeight="1">
      <c r="C23" s="42"/>
      <c r="D23" s="42" t="s">
        <v>38</v>
      </c>
      <c r="E23" s="42"/>
      <c r="F23" s="46">
        <f t="shared" ca="1" si="2"/>
        <v>0.48970000000000002</v>
      </c>
      <c r="G23" s="45" t="s">
        <v>11</v>
      </c>
      <c r="H23" s="57">
        <f>IF(UNIT!$Z$1=1,UNIT!AD87,UNIT!AF87)</f>
        <v>15506.1</v>
      </c>
      <c r="I23" s="42"/>
      <c r="J23" s="43">
        <f t="shared" ca="1" si="3"/>
        <v>7593.3371700000007</v>
      </c>
      <c r="K23" s="36"/>
      <c r="L23" s="567" t="str">
        <f t="shared" si="4"/>
        <v>NO</v>
      </c>
      <c r="N23" s="538">
        <v>0.48970000000000002</v>
      </c>
      <c r="O23" s="538">
        <v>0.27039999999999997</v>
      </c>
      <c r="P23" s="538">
        <v>0.22770000000000001</v>
      </c>
      <c r="Q23" s="539" t="s">
        <v>27</v>
      </c>
    </row>
    <row r="24" spans="1:17" ht="14.1" customHeight="1">
      <c r="C24" s="42"/>
      <c r="D24" s="42" t="s">
        <v>40</v>
      </c>
      <c r="E24" s="42"/>
      <c r="F24" s="46">
        <f t="shared" ca="1" si="2"/>
        <v>0.4819</v>
      </c>
      <c r="G24" s="45" t="s">
        <v>11</v>
      </c>
      <c r="H24" s="57">
        <f>IF(UNIT!$Z$1=1,UNIT!AD88,UNIT!AF88)</f>
        <v>7220.1241</v>
      </c>
      <c r="I24" s="42"/>
      <c r="J24" s="43">
        <f t="shared" ca="1" si="3"/>
        <v>3479.3778037900001</v>
      </c>
      <c r="K24" s="36"/>
      <c r="L24" s="567" t="str">
        <f t="shared" si="4"/>
        <v>NO</v>
      </c>
      <c r="N24" s="538">
        <v>0.4819</v>
      </c>
      <c r="O24" s="538">
        <v>0.2263</v>
      </c>
      <c r="P24" s="538">
        <v>0.17280000000000001</v>
      </c>
      <c r="Q24" s="539">
        <v>6.0199999999999997E-2</v>
      </c>
    </row>
    <row r="25" spans="1:17" ht="14.1" customHeight="1">
      <c r="C25" s="42"/>
      <c r="D25" s="42" t="s">
        <v>39</v>
      </c>
      <c r="E25" s="42"/>
      <c r="F25" s="46">
        <f t="shared" ca="1" si="2"/>
        <v>0.61229999999999996</v>
      </c>
      <c r="G25" s="45" t="s">
        <v>11</v>
      </c>
      <c r="H25" s="57">
        <f>IF(UNIT!$Z$1=1,UNIT!AD89,UNIT!AF89)</f>
        <v>6539.539733333334</v>
      </c>
      <c r="I25" s="42"/>
      <c r="J25" s="43">
        <f t="shared" ca="1" si="3"/>
        <v>4004.1601787200002</v>
      </c>
      <c r="K25" s="36"/>
      <c r="L25" s="567" t="str">
        <f t="shared" si="4"/>
        <v>NO</v>
      </c>
      <c r="N25" s="538">
        <v>0.61229999999999996</v>
      </c>
      <c r="O25" s="538">
        <v>0.28899999999999998</v>
      </c>
      <c r="P25" s="538">
        <v>0.31859999999999999</v>
      </c>
      <c r="Q25" s="539">
        <v>0.1343</v>
      </c>
    </row>
    <row r="26" spans="1:17" ht="14.1" customHeight="1">
      <c r="C26" s="42"/>
      <c r="D26" s="42" t="s">
        <v>43</v>
      </c>
      <c r="E26" s="42"/>
      <c r="F26" s="41">
        <f t="shared" ca="1" si="2"/>
        <v>0.4829</v>
      </c>
      <c r="G26" s="45" t="s">
        <v>11</v>
      </c>
      <c r="H26" s="57">
        <f>IF(UNIT!$Z$1=1,UNIT!AD90,UNIT!AF90)</f>
        <v>11037.452000000001</v>
      </c>
      <c r="I26" s="42"/>
      <c r="J26" s="43">
        <f t="shared" ca="1" si="3"/>
        <v>5329.9855708000005</v>
      </c>
      <c r="K26" s="36"/>
      <c r="L26" s="567" t="str">
        <f t="shared" si="4"/>
        <v>NO</v>
      </c>
      <c r="N26" s="538">
        <v>0.4829</v>
      </c>
      <c r="O26" s="538">
        <v>0.19639999999999999</v>
      </c>
      <c r="P26" s="538">
        <v>0.14749999999999999</v>
      </c>
      <c r="Q26" s="539">
        <v>0.1103</v>
      </c>
    </row>
    <row r="27" spans="1:17" ht="14.1" customHeight="1">
      <c r="C27" s="42"/>
      <c r="D27" s="42" t="s">
        <v>416</v>
      </c>
      <c r="E27" s="42"/>
      <c r="F27" s="41">
        <f t="shared" ca="1" si="2"/>
        <v>0.4496</v>
      </c>
      <c r="G27" s="45" t="s">
        <v>11</v>
      </c>
      <c r="H27" s="57">
        <f>IF(UNIT!$Z$1=1,UNIT!AD91,UNIT!AF91)</f>
        <v>10650.772800000001</v>
      </c>
      <c r="I27" s="42"/>
      <c r="J27" s="43">
        <f t="shared" ca="1" si="3"/>
        <v>4788.5874508800007</v>
      </c>
      <c r="K27" s="36"/>
      <c r="L27" s="567" t="str">
        <f t="shared" si="4"/>
        <v>NO</v>
      </c>
      <c r="N27" s="538">
        <v>0.4496</v>
      </c>
      <c r="O27" s="538">
        <v>0.18110000000000001</v>
      </c>
      <c r="P27" s="538">
        <v>0.19969999999999999</v>
      </c>
      <c r="Q27" s="539" t="s">
        <v>27</v>
      </c>
    </row>
    <row r="28" spans="1:17" ht="14.1" customHeight="1">
      <c r="C28" s="42"/>
      <c r="D28" s="42" t="s">
        <v>44</v>
      </c>
      <c r="E28" s="42"/>
      <c r="F28" s="41">
        <f t="shared" ca="1" si="2"/>
        <v>0.51180000000000003</v>
      </c>
      <c r="G28" s="45" t="s">
        <v>11</v>
      </c>
      <c r="H28" s="57">
        <f>IF(UNIT!$Z$1=1,UNIT!AD92,UNIT!AF92)</f>
        <v>8644.3554461538461</v>
      </c>
      <c r="I28" s="42"/>
      <c r="J28" s="43">
        <f t="shared" ca="1" si="3"/>
        <v>4424.181117341539</v>
      </c>
      <c r="K28" s="36"/>
      <c r="L28" s="567" t="str">
        <f t="shared" si="4"/>
        <v>NO</v>
      </c>
      <c r="N28" s="538">
        <v>0.51180000000000003</v>
      </c>
      <c r="O28" s="538">
        <v>0.20730000000000001</v>
      </c>
      <c r="P28" s="538">
        <v>0.13339999999999999</v>
      </c>
      <c r="Q28" s="539">
        <v>5.21E-2</v>
      </c>
    </row>
    <row r="29" spans="1:17" ht="14.1" customHeight="1">
      <c r="C29" s="42"/>
      <c r="D29" s="42" t="s">
        <v>91</v>
      </c>
      <c r="E29" s="42"/>
      <c r="F29" s="41" t="str">
        <f t="shared" ca="1" si="2"/>
        <v>-</v>
      </c>
      <c r="G29" s="45" t="s">
        <v>11</v>
      </c>
      <c r="H29" s="57">
        <f>IF(UNIT!$Z$1=1,UNIT!AD93,UNIT!AF93)</f>
        <v>7863.2666666666664</v>
      </c>
      <c r="I29" s="42"/>
      <c r="J29" s="43" t="str">
        <f t="shared" ca="1" si="3"/>
        <v>-</v>
      </c>
      <c r="K29" s="36"/>
      <c r="L29" s="567" t="str">
        <f t="shared" si="4"/>
        <v>NO</v>
      </c>
      <c r="N29" s="538" t="s">
        <v>27</v>
      </c>
      <c r="O29" s="538" t="s">
        <v>27</v>
      </c>
      <c r="P29" s="538">
        <v>0.11</v>
      </c>
      <c r="Q29" s="539">
        <v>6.9699999999999998E-2</v>
      </c>
    </row>
    <row r="30" spans="1:17" ht="14.1" customHeight="1">
      <c r="C30" s="42"/>
      <c r="D30" s="42" t="s">
        <v>41</v>
      </c>
      <c r="E30" s="42"/>
      <c r="F30" s="41" t="str">
        <f t="shared" ca="1" si="2"/>
        <v>-</v>
      </c>
      <c r="G30" s="45" t="s">
        <v>11</v>
      </c>
      <c r="H30" s="57">
        <f>IF(UNIT!$Z$1=1,UNIT!AD94,UNIT!AF94)</f>
        <v>6763.2559999999994</v>
      </c>
      <c r="I30" s="42"/>
      <c r="J30" s="43" t="str">
        <f t="shared" ca="1" si="3"/>
        <v>-</v>
      </c>
      <c r="K30" s="36"/>
      <c r="L30" s="567" t="str">
        <f t="shared" si="4"/>
        <v>NO</v>
      </c>
      <c r="N30" s="538" t="s">
        <v>27</v>
      </c>
      <c r="O30" s="538" t="s">
        <v>27</v>
      </c>
      <c r="P30" s="538">
        <v>0.27389999999999998</v>
      </c>
      <c r="Q30" s="539" t="s">
        <v>27</v>
      </c>
    </row>
    <row r="31" spans="1:17" ht="14.1" customHeight="1">
      <c r="C31" s="42"/>
      <c r="D31" s="42" t="s">
        <v>42</v>
      </c>
      <c r="E31" s="42"/>
      <c r="F31" s="41">
        <f t="shared" ca="1" si="2"/>
        <v>0.53400000000000003</v>
      </c>
      <c r="G31" s="45" t="s">
        <v>11</v>
      </c>
      <c r="H31" s="57">
        <f>IF(UNIT!$Z$1=1,UNIT!AD95,UNIT!AF95)</f>
        <v>7757.2368000000006</v>
      </c>
      <c r="I31" s="42"/>
      <c r="J31" s="43">
        <f t="shared" ca="1" si="3"/>
        <v>4142.364451200001</v>
      </c>
      <c r="K31" s="36"/>
      <c r="L31" s="567" t="str">
        <f t="shared" si="4"/>
        <v>NO</v>
      </c>
      <c r="N31" s="538">
        <v>0.53400000000000003</v>
      </c>
      <c r="O31" s="538">
        <v>0.26979999999999998</v>
      </c>
      <c r="P31" s="538">
        <v>0.19950000000000001</v>
      </c>
      <c r="Q31" s="539">
        <v>0.1656</v>
      </c>
    </row>
    <row r="32" spans="1:17" ht="14.1" customHeight="1">
      <c r="C32" s="42"/>
      <c r="D32" s="42" t="s">
        <v>46</v>
      </c>
      <c r="E32" s="42"/>
      <c r="F32" s="41">
        <f t="shared" ca="1" si="2"/>
        <v>0.48780000000000001</v>
      </c>
      <c r="G32" s="45" t="s">
        <v>11</v>
      </c>
      <c r="H32" s="57">
        <f>IF(UNIT!$Z$1=1,UNIT!AD96,UNIT!AF96)</f>
        <v>4110.3833333333332</v>
      </c>
      <c r="I32" s="42"/>
      <c r="J32" s="43">
        <f t="shared" ca="1" si="3"/>
        <v>2005.0449900000001</v>
      </c>
      <c r="K32" s="36"/>
      <c r="L32" s="567" t="str">
        <f t="shared" si="4"/>
        <v>NO</v>
      </c>
      <c r="N32" s="538">
        <v>0.48780000000000001</v>
      </c>
      <c r="O32" s="538">
        <v>0.18210000000000001</v>
      </c>
      <c r="P32" s="538">
        <v>0.126</v>
      </c>
      <c r="Q32" s="539">
        <v>4.9599999999999998E-2</v>
      </c>
    </row>
    <row r="33" spans="3:17" ht="14.1" customHeight="1">
      <c r="C33" s="42"/>
      <c r="D33" s="42" t="s">
        <v>45</v>
      </c>
      <c r="E33" s="42"/>
      <c r="F33" s="46">
        <f t="shared" ca="1" si="2"/>
        <v>0.7107</v>
      </c>
      <c r="G33" s="45" t="s">
        <v>11</v>
      </c>
      <c r="H33" s="57">
        <f>IF(UNIT!$Z$1=1,UNIT!AD97,UNIT!AF97)</f>
        <v>5687.4484571428566</v>
      </c>
      <c r="I33" s="42"/>
      <c r="J33" s="43">
        <f t="shared" ca="1" si="3"/>
        <v>4042.0696184914282</v>
      </c>
      <c r="K33" s="36"/>
      <c r="L33" s="567" t="str">
        <f t="shared" si="4"/>
        <v>NO</v>
      </c>
      <c r="N33" s="538">
        <v>0.7107</v>
      </c>
      <c r="O33" s="538">
        <v>0.33119999999999999</v>
      </c>
      <c r="P33" s="538" t="s">
        <v>27</v>
      </c>
      <c r="Q33" s="539" t="s">
        <v>27</v>
      </c>
    </row>
    <row r="34" spans="3:17" ht="14.1" customHeight="1">
      <c r="C34" s="42"/>
      <c r="D34" s="42" t="s">
        <v>417</v>
      </c>
      <c r="E34" s="42"/>
      <c r="F34" s="41">
        <f t="shared" ca="1" si="2"/>
        <v>0.61850000000000005</v>
      </c>
      <c r="G34" s="45" t="s">
        <v>11</v>
      </c>
      <c r="H34" s="57">
        <f>IF(UNIT!$Z$1=1,UNIT!AD98,UNIT!AF98)</f>
        <v>3180.0117222222225</v>
      </c>
      <c r="I34" s="42"/>
      <c r="J34" s="43">
        <f t="shared" ca="1" si="3"/>
        <v>1966.8372501944448</v>
      </c>
      <c r="K34" s="36"/>
      <c r="L34" s="567" t="str">
        <f t="shared" si="4"/>
        <v>NO</v>
      </c>
      <c r="N34" s="538">
        <v>0.61850000000000005</v>
      </c>
      <c r="O34" s="538">
        <v>0.34820000000000001</v>
      </c>
      <c r="P34" s="538">
        <v>0.37340000000000001</v>
      </c>
      <c r="Q34" s="539" t="s">
        <v>27</v>
      </c>
    </row>
    <row r="35" spans="3:17" ht="14.1" customHeight="1">
      <c r="C35" s="42"/>
      <c r="D35" s="42" t="s">
        <v>47</v>
      </c>
      <c r="E35" s="42"/>
      <c r="F35" s="41">
        <f t="shared" ca="1" si="2"/>
        <v>0.45200000000000001</v>
      </c>
      <c r="G35" s="45" t="s">
        <v>11</v>
      </c>
      <c r="H35" s="57">
        <f>IF(UNIT!$Z$1=1,UNIT!AD99,UNIT!AF99)</f>
        <v>18106.857714285714</v>
      </c>
      <c r="I35" s="42"/>
      <c r="J35" s="43">
        <f t="shared" ca="1" si="3"/>
        <v>8184.2996868571427</v>
      </c>
      <c r="K35" s="36"/>
      <c r="L35" s="567" t="str">
        <f t="shared" si="4"/>
        <v>NO</v>
      </c>
      <c r="N35" s="538">
        <v>0.45200000000000001</v>
      </c>
      <c r="O35" s="538">
        <v>0.16789999999999999</v>
      </c>
      <c r="P35" s="538">
        <v>0.18190000000000001</v>
      </c>
      <c r="Q35" s="539" t="s">
        <v>27</v>
      </c>
    </row>
    <row r="36" spans="3:17" ht="14.1" customHeight="1">
      <c r="C36" s="42"/>
      <c r="D36" s="42" t="s">
        <v>49</v>
      </c>
      <c r="E36" s="42"/>
      <c r="F36" s="41">
        <f t="shared" ca="1" si="2"/>
        <v>0.42870000000000003</v>
      </c>
      <c r="G36" s="45" t="s">
        <v>11</v>
      </c>
      <c r="H36" s="57">
        <f>IF(UNIT!$Z$1=1,UNIT!AD100,UNIT!AF100)</f>
        <v>7956.3434999999999</v>
      </c>
      <c r="I36" s="42"/>
      <c r="J36" s="43">
        <f t="shared" ca="1" si="3"/>
        <v>3410.8844584500002</v>
      </c>
      <c r="K36" s="36"/>
      <c r="L36" s="567" t="str">
        <f t="shared" si="4"/>
        <v>NO</v>
      </c>
      <c r="N36" s="538">
        <v>0.42870000000000003</v>
      </c>
      <c r="O36" s="538">
        <v>0.23669999999999999</v>
      </c>
      <c r="P36" s="538">
        <v>0.16539999999999999</v>
      </c>
      <c r="Q36" s="539" t="s">
        <v>27</v>
      </c>
    </row>
    <row r="37" spans="3:17" ht="14.1" customHeight="1">
      <c r="C37" s="42"/>
      <c r="D37" s="42" t="s">
        <v>51</v>
      </c>
      <c r="E37" s="42"/>
      <c r="F37" s="41">
        <f t="shared" ca="1" si="2"/>
        <v>0.41220000000000001</v>
      </c>
      <c r="G37" s="45" t="s">
        <v>11</v>
      </c>
      <c r="H37" s="57">
        <f>IF(UNIT!$Z$1=1,UNIT!AD101,UNIT!AF101)</f>
        <v>8211.8572571428576</v>
      </c>
      <c r="I37" s="42"/>
      <c r="J37" s="43">
        <f t="shared" ca="1" si="3"/>
        <v>3384.9275613942859</v>
      </c>
      <c r="K37" s="36"/>
      <c r="L37" s="567" t="str">
        <f t="shared" si="4"/>
        <v>NO</v>
      </c>
      <c r="N37" s="538">
        <v>0.41220000000000001</v>
      </c>
      <c r="O37" s="538">
        <v>0.31190000000000001</v>
      </c>
      <c r="P37" s="538">
        <v>0.2145</v>
      </c>
      <c r="Q37" s="539">
        <v>0.1628</v>
      </c>
    </row>
    <row r="38" spans="3:17" ht="14.1" customHeight="1">
      <c r="C38" s="42"/>
      <c r="D38" s="42" t="s">
        <v>50</v>
      </c>
      <c r="E38" s="42"/>
      <c r="F38" s="41">
        <f t="shared" ca="1" si="2"/>
        <v>0.47820000000000001</v>
      </c>
      <c r="G38" s="45" t="s">
        <v>11</v>
      </c>
      <c r="H38" s="57">
        <f>IF(UNIT!$Z$1=1,UNIT!AD102,UNIT!AF102)</f>
        <v>1781.0673454545456</v>
      </c>
      <c r="I38" s="42"/>
      <c r="J38" s="43">
        <f t="shared" ca="1" si="3"/>
        <v>851.70640459636377</v>
      </c>
      <c r="K38" s="36"/>
      <c r="L38" s="567" t="str">
        <f t="shared" si="4"/>
        <v>NO</v>
      </c>
      <c r="N38" s="538">
        <v>0.47820000000000001</v>
      </c>
      <c r="O38" s="538">
        <v>0.28449999999999998</v>
      </c>
      <c r="P38" s="538">
        <v>0.20349999999999999</v>
      </c>
      <c r="Q38" s="539">
        <v>0.19539999999999999</v>
      </c>
    </row>
    <row r="39" spans="3:17" ht="14.1" customHeight="1" thickBot="1">
      <c r="C39" s="42"/>
      <c r="D39" s="42" t="s">
        <v>48</v>
      </c>
      <c r="E39" s="42"/>
      <c r="F39" s="41">
        <f t="shared" ca="1" si="2"/>
        <v>0.43180000000000002</v>
      </c>
      <c r="G39" s="45" t="s">
        <v>11</v>
      </c>
      <c r="H39" s="57">
        <f>IF(UNIT!$Z$1=1,UNIT!AD103,UNIT!AF103)</f>
        <v>2170.04</v>
      </c>
      <c r="I39" s="42"/>
      <c r="J39" s="43">
        <f t="shared" ca="1" si="3"/>
        <v>937.02327200000002</v>
      </c>
      <c r="K39" s="36"/>
      <c r="L39" s="567" t="str">
        <f t="shared" si="4"/>
        <v>NO</v>
      </c>
      <c r="N39" s="540">
        <v>0.43180000000000002</v>
      </c>
      <c r="O39" s="540">
        <v>0.16600000000000001</v>
      </c>
      <c r="P39" s="540">
        <v>0.19270000000000001</v>
      </c>
      <c r="Q39" s="541">
        <v>0.15740000000000001</v>
      </c>
    </row>
    <row r="40" spans="3:17" ht="18" customHeight="1" thickBot="1">
      <c r="C40" s="509"/>
      <c r="D40" s="505" t="s">
        <v>196</v>
      </c>
      <c r="E40" s="505"/>
      <c r="F40" s="506"/>
      <c r="G40" s="506"/>
      <c r="H40" s="507"/>
      <c r="I40" s="505"/>
      <c r="J40" s="508">
        <f ca="1">SUM(J6,J10,J15,J21)</f>
        <v>2317285.2600941891</v>
      </c>
      <c r="K40" s="36"/>
      <c r="L40" s="567"/>
    </row>
    <row r="41" spans="3:17" ht="15.95" customHeight="1">
      <c r="C41" s="16" t="str">
        <f>_xlfn.CONCAT("a/ Inventario basado en una finca cafetalera promedio de ",LOOKUP(N1,N3:Q3,N5:Q5)," hectáreas de extensión.")</f>
        <v>a/ Inventario basado en una finca cafetalera promedio de 1.5 a 6.0 hectáreas de extensión.</v>
      </c>
      <c r="D41" s="17"/>
      <c r="E41"/>
    </row>
    <row r="42" spans="3:17" ht="11.45" customHeight="1">
      <c r="C42" s="16" t="str">
        <f>_xlfn.CONCAT("b/ Valor de las construcciones estimadas al año ",(MID(FICHA!D36,9,4)-15),". ","Edad ponderada de las construcciones: 15 años al año ",MID(FICHA!D36,9,4),".")</f>
        <v>b/ Valor de las construcciones estimadas al año 2011. Edad ponderada de las construcciones: 15 años al año 2026.</v>
      </c>
      <c r="D42"/>
      <c r="E42"/>
    </row>
    <row r="43" spans="3:17" ht="11.45" customHeight="1">
      <c r="C43" s="16" t="str">
        <f>_xlfn.CONCAT("c/ Valor de los medios de transporte calculados al año ",(MID(FICHA!D36,9,4)-10),".","  Su fabricación data de más de 20 años, se consideran activos no depreciables.")</f>
        <v>c/ Valor de los medios de transporte calculados al año 2016.  Su fabricación data de más de 20 años, se consideran activos no depreciables.</v>
      </c>
      <c r="D43"/>
      <c r="E43"/>
    </row>
    <row r="44" spans="3:17" ht="11.45" customHeight="1">
      <c r="C44" s="16" t="str">
        <f>_xlfn.CONCAT("d/ Valor de los equipos y herramientas estimados al año ",MID(FICHA!D36,9,4)-5,".  Las herramientas se consideran activos no depreciables.")</f>
        <v>d/ Valor de los equipos y herramientas estimados al año 2021.  Las herramientas se consideran activos no depreciables.</v>
      </c>
      <c r="D44"/>
      <c r="E44"/>
    </row>
    <row r="45" spans="3:17" ht="11.45" customHeight="1">
      <c r="C45" s="17" t="s">
        <v>153</v>
      </c>
      <c r="D45"/>
      <c r="E45"/>
      <c r="K45" s="36"/>
    </row>
    <row r="46" spans="3:17">
      <c r="F46" s="36"/>
      <c r="G46" s="36"/>
      <c r="H46" s="36"/>
      <c r="I46" s="36"/>
      <c r="J46" s="36"/>
    </row>
  </sheetData>
  <sheetProtection algorithmName="SHA-512" hashValue="AfKHWFRdLHdHS+XEbDhhXvk6nNWgeRTtBP61YNlhaRb85IGb1tYvfGIG/Qhf3TMHGTMlxE6h67aCdMM+d0Z2MA==" saltValue="jASDF0T26PtTJZ7gabGZyQ==" spinCount="100000" sheet="1" objects="1" scenarios="1"/>
  <mergeCells count="4">
    <mergeCell ref="C4:E5"/>
    <mergeCell ref="F4:F5"/>
    <mergeCell ref="G4:G5"/>
    <mergeCell ref="N2:S2"/>
  </mergeCells>
  <phoneticPr fontId="5" type="noConversion"/>
  <conditionalFormatting sqref="F40:H40 J40">
    <cfRule type="cellIs" dxfId="6" priority="6" stopIfTrue="1" operator="equal">
      <formula>"-"</formula>
    </cfRule>
  </conditionalFormatting>
  <conditionalFormatting sqref="F6:J39">
    <cfRule type="cellIs" dxfId="5" priority="7" stopIfTrue="1" operator="equal">
      <formula>"-"</formula>
    </cfRule>
  </conditionalFormatting>
  <conditionalFormatting sqref="N7:Q39">
    <cfRule type="cellIs" dxfId="4" priority="1" stopIfTrue="1" operator="equal">
      <formula>"-"</formula>
    </cfRule>
  </conditionalFormatting>
  <dataValidations count="1">
    <dataValidation type="list" allowBlank="1" showInputMessage="1" showErrorMessage="1" error="Solo puede digitar letras entre A y D" sqref="N1" xr:uid="{35571C76-5D5B-486B-97C8-DF8CEF04800E}">
      <formula1>$N$3:$Q$3</formula1>
    </dataValidation>
  </dataValidations>
  <printOptions horizontalCentered="1" verticalCentered="1"/>
  <pageMargins left="0.59055118110236227" right="0.59055118110236227" top="0.98425196850393704" bottom="0.98425196850393704" header="0" footer="0"/>
  <pageSetup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AAA5-F158-40C7-9EDF-A6D116BAE95C}">
  <sheetPr>
    <tabColor theme="0"/>
  </sheetPr>
  <dimension ref="B2:T27"/>
  <sheetViews>
    <sheetView showGridLines="0" workbookViewId="0"/>
  </sheetViews>
  <sheetFormatPr baseColWidth="10" defaultColWidth="11.42578125" defaultRowHeight="12" customHeight="1"/>
  <cols>
    <col min="1" max="1" width="1.7109375" style="633" customWidth="1"/>
    <col min="2" max="2" width="8.42578125" style="631" customWidth="1"/>
    <col min="3" max="3" width="2.28515625" style="633" customWidth="1"/>
    <col min="4" max="15" width="10.42578125" style="631" customWidth="1"/>
    <col min="16" max="16" width="2.28515625" style="633" customWidth="1"/>
    <col min="17" max="16384" width="11.42578125" style="633"/>
  </cols>
  <sheetData>
    <row r="2" spans="2:20" s="630" customFormat="1" ht="21" customHeight="1">
      <c r="B2" s="628" t="s">
        <v>504</v>
      </c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</row>
    <row r="4" spans="2:20" ht="12" customHeight="1">
      <c r="B4" s="631" t="s">
        <v>505</v>
      </c>
      <c r="D4" s="632" t="s">
        <v>506</v>
      </c>
      <c r="E4" s="632" t="s">
        <v>507</v>
      </c>
      <c r="F4" s="632" t="s">
        <v>508</v>
      </c>
      <c r="G4" s="632" t="s">
        <v>509</v>
      </c>
      <c r="H4" s="632" t="s">
        <v>510</v>
      </c>
      <c r="I4" s="632" t="s">
        <v>511</v>
      </c>
      <c r="J4" s="632" t="s">
        <v>512</v>
      </c>
      <c r="K4" s="632" t="s">
        <v>513</v>
      </c>
      <c r="L4" s="632" t="s">
        <v>514</v>
      </c>
      <c r="M4" s="632" t="s">
        <v>515</v>
      </c>
      <c r="N4" s="632" t="s">
        <v>516</v>
      </c>
      <c r="O4" s="632" t="s">
        <v>517</v>
      </c>
      <c r="Q4" s="632" t="str">
        <f>D4</f>
        <v>001-Ene</v>
      </c>
      <c r="R4" s="632" t="str">
        <f>E4</f>
        <v>002-Feb</v>
      </c>
      <c r="S4" s="632" t="s">
        <v>508</v>
      </c>
      <c r="T4" s="632" t="s">
        <v>509</v>
      </c>
    </row>
    <row r="5" spans="2:20" ht="12" customHeight="1">
      <c r="B5" s="632">
        <v>2006</v>
      </c>
      <c r="D5" s="634">
        <v>498.21612903225821</v>
      </c>
      <c r="E5" s="634">
        <v>483.86448275862062</v>
      </c>
      <c r="F5" s="634">
        <v>503.88306451612897</v>
      </c>
      <c r="G5" s="634">
        <v>506.48749999999995</v>
      </c>
      <c r="H5" s="634">
        <v>508.69177419354827</v>
      </c>
      <c r="I5" s="634">
        <v>511.53416666666675</v>
      </c>
      <c r="J5" s="634">
        <v>514.33887096774185</v>
      </c>
      <c r="K5" s="634">
        <v>516.96951612903217</v>
      </c>
      <c r="L5" s="634">
        <v>519.59216666666669</v>
      </c>
      <c r="M5" s="634">
        <v>519.84516129032238</v>
      </c>
      <c r="N5" s="634">
        <v>516.95866666666666</v>
      </c>
      <c r="O5" s="634">
        <v>517.11709677419356</v>
      </c>
      <c r="Q5" s="634">
        <f>D6</f>
        <v>518.0787096774194</v>
      </c>
      <c r="R5" s="634">
        <f>E6</f>
        <v>501.21689655172406</v>
      </c>
      <c r="S5" s="634">
        <f t="shared" ref="S5:T5" si="0">F6</f>
        <v>518.84080645161293</v>
      </c>
      <c r="T5" s="634">
        <f t="shared" si="0"/>
        <v>518.73699999999997</v>
      </c>
    </row>
    <row r="6" spans="2:20" ht="12" customHeight="1">
      <c r="B6" s="632">
        <f>B5+1</f>
        <v>2007</v>
      </c>
      <c r="D6" s="634">
        <v>518.0787096774194</v>
      </c>
      <c r="E6" s="634">
        <v>501.21689655172406</v>
      </c>
      <c r="F6" s="634">
        <v>518.84080645161293</v>
      </c>
      <c r="G6" s="634">
        <v>518.73699999999997</v>
      </c>
      <c r="H6" s="634">
        <v>518.74467741935484</v>
      </c>
      <c r="I6" s="634">
        <v>518.6871666666666</v>
      </c>
      <c r="J6" s="634">
        <v>518.65564516129029</v>
      </c>
      <c r="K6" s="634">
        <v>518.63177419354849</v>
      </c>
      <c r="L6" s="634">
        <v>518.54466666666679</v>
      </c>
      <c r="M6" s="634">
        <v>518.81451612903209</v>
      </c>
      <c r="N6" s="634">
        <v>513.87216666666666</v>
      </c>
      <c r="O6" s="634">
        <v>498.68693548387091</v>
      </c>
      <c r="Q6" s="634">
        <f t="shared" ref="Q6:Q23" si="1">D7</f>
        <v>497.4735483870968</v>
      </c>
      <c r="R6" s="634">
        <f t="shared" ref="R6:R23" si="2">E7</f>
        <v>496.36603448275872</v>
      </c>
      <c r="S6" s="634">
        <f t="shared" ref="S6:S23" si="3">F7</f>
        <v>495.33112903225805</v>
      </c>
      <c r="T6" s="634">
        <f t="shared" ref="T6:T23" si="4">G7</f>
        <v>494.2150000000002</v>
      </c>
    </row>
    <row r="7" spans="2:20" ht="12" customHeight="1">
      <c r="B7" s="632">
        <f t="shared" ref="B7:B24" si="5">B6+1</f>
        <v>2008</v>
      </c>
      <c r="D7" s="634">
        <v>497.4735483870968</v>
      </c>
      <c r="E7" s="634">
        <v>496.36603448275872</v>
      </c>
      <c r="F7" s="634">
        <v>495.33112903225805</v>
      </c>
      <c r="G7" s="634">
        <v>494.2150000000002</v>
      </c>
      <c r="H7" s="634">
        <v>510.97548387096765</v>
      </c>
      <c r="I7" s="634">
        <v>519.66833333333329</v>
      </c>
      <c r="J7" s="634">
        <v>536.58709677419358</v>
      </c>
      <c r="K7" s="634">
        <v>551.9677419354839</v>
      </c>
      <c r="L7" s="634">
        <v>553.77016666666668</v>
      </c>
      <c r="M7" s="634">
        <v>555.07193548387102</v>
      </c>
      <c r="N7" s="634">
        <v>553.59749999999997</v>
      </c>
      <c r="O7" s="634">
        <v>549.80306451612876</v>
      </c>
      <c r="Q7" s="634">
        <f t="shared" si="1"/>
        <v>556.37209677419344</v>
      </c>
      <c r="R7" s="634">
        <f t="shared" si="2"/>
        <v>543.25103448275866</v>
      </c>
      <c r="S7" s="634">
        <f t="shared" si="3"/>
        <v>565.57177419354832</v>
      </c>
      <c r="T7" s="634">
        <f t="shared" si="4"/>
        <v>570.17033333333336</v>
      </c>
    </row>
    <row r="8" spans="2:20" ht="12" customHeight="1">
      <c r="B8" s="632">
        <f t="shared" si="5"/>
        <v>2009</v>
      </c>
      <c r="D8" s="634">
        <v>556.37209677419344</v>
      </c>
      <c r="E8" s="634">
        <v>543.25103448275866</v>
      </c>
      <c r="F8" s="634">
        <v>565.57177419354832</v>
      </c>
      <c r="G8" s="634">
        <v>570.17033333333336</v>
      </c>
      <c r="H8" s="634">
        <v>574.54483870967726</v>
      </c>
      <c r="I8" s="634">
        <v>576.67049999999995</v>
      </c>
      <c r="J8" s="634">
        <v>581.95338709677412</v>
      </c>
      <c r="K8" s="634">
        <v>586.9412903225807</v>
      </c>
      <c r="L8" s="634">
        <v>586.90966666666645</v>
      </c>
      <c r="M8" s="634">
        <v>582.34548387096777</v>
      </c>
      <c r="N8" s="634">
        <v>567.3358333333332</v>
      </c>
      <c r="O8" s="634">
        <v>567.98741935483872</v>
      </c>
      <c r="Q8" s="634">
        <f t="shared" si="1"/>
        <v>564.29629032258072</v>
      </c>
      <c r="R8" s="634">
        <f t="shared" si="2"/>
        <v>534.53689655172411</v>
      </c>
      <c r="S8" s="634">
        <f t="shared" si="3"/>
        <v>537.67129032258049</v>
      </c>
      <c r="T8" s="634">
        <f t="shared" si="4"/>
        <v>516.37250000000006</v>
      </c>
    </row>
    <row r="9" spans="2:20" ht="12" customHeight="1">
      <c r="B9" s="632">
        <f t="shared" si="5"/>
        <v>2010</v>
      </c>
      <c r="D9" s="634">
        <v>564.29629032258072</v>
      </c>
      <c r="E9" s="634">
        <v>534.53689655172411</v>
      </c>
      <c r="F9" s="634">
        <v>537.67129032258049</v>
      </c>
      <c r="G9" s="634">
        <v>516.37250000000006</v>
      </c>
      <c r="H9" s="634">
        <v>527.65838709677428</v>
      </c>
      <c r="I9" s="634">
        <v>535.1158333333334</v>
      </c>
      <c r="J9" s="634">
        <v>523.96758064516109</v>
      </c>
      <c r="K9" s="634">
        <v>511.99322580645162</v>
      </c>
      <c r="L9" s="634">
        <v>510.17533333333336</v>
      </c>
      <c r="M9" s="634">
        <v>510.35967741935491</v>
      </c>
      <c r="N9" s="634">
        <v>512.34150000000011</v>
      </c>
      <c r="O9" s="634">
        <v>506.3745161290322</v>
      </c>
      <c r="Q9" s="634">
        <f t="shared" si="1"/>
        <v>506.97580645161304</v>
      </c>
      <c r="R9" s="634">
        <f t="shared" si="2"/>
        <v>485.00465517241378</v>
      </c>
      <c r="S9" s="634">
        <f t="shared" si="3"/>
        <v>500.37129032258053</v>
      </c>
      <c r="T9" s="634">
        <f t="shared" si="4"/>
        <v>499.85300000000007</v>
      </c>
    </row>
    <row r="10" spans="2:20" ht="12" customHeight="1">
      <c r="B10" s="632">
        <f t="shared" si="5"/>
        <v>2011</v>
      </c>
      <c r="D10" s="634">
        <v>506.97580645161304</v>
      </c>
      <c r="E10" s="634">
        <v>485.00465517241378</v>
      </c>
      <c r="F10" s="634">
        <v>500.37129032258053</v>
      </c>
      <c r="G10" s="634">
        <v>499.85300000000007</v>
      </c>
      <c r="H10" s="634">
        <v>503.14758064516138</v>
      </c>
      <c r="I10" s="634">
        <v>505.66716666666673</v>
      </c>
      <c r="J10" s="634">
        <v>504.86887096774194</v>
      </c>
      <c r="K10" s="634">
        <v>505.58467741935476</v>
      </c>
      <c r="L10" s="634">
        <v>510.87866666666662</v>
      </c>
      <c r="M10" s="634">
        <v>515.09854838709668</v>
      </c>
      <c r="N10" s="634">
        <v>507.72966666666656</v>
      </c>
      <c r="O10" s="634">
        <v>505.46935483870965</v>
      </c>
      <c r="Q10" s="634">
        <f t="shared" si="1"/>
        <v>509.71274193548373</v>
      </c>
      <c r="R10" s="634">
        <f t="shared" si="2"/>
        <v>510.61862068965502</v>
      </c>
      <c r="S10" s="634">
        <f t="shared" si="3"/>
        <v>508.81451612903237</v>
      </c>
      <c r="T10" s="634">
        <f t="shared" si="4"/>
        <v>505.1703333333333</v>
      </c>
    </row>
    <row r="11" spans="2:20" ht="12" customHeight="1">
      <c r="B11" s="632">
        <f t="shared" si="5"/>
        <v>2012</v>
      </c>
      <c r="D11" s="634">
        <v>509.71274193548373</v>
      </c>
      <c r="E11" s="634">
        <v>510.61862068965502</v>
      </c>
      <c r="F11" s="634">
        <v>508.81451612903237</v>
      </c>
      <c r="G11" s="634">
        <v>505.1703333333333</v>
      </c>
      <c r="H11" s="634">
        <v>504.85693548387098</v>
      </c>
      <c r="I11" s="634">
        <v>500.23783333333341</v>
      </c>
      <c r="J11" s="634">
        <v>500.68419354838704</v>
      </c>
      <c r="K11" s="634">
        <v>499.31338709677425</v>
      </c>
      <c r="L11" s="634">
        <v>497.97383333333335</v>
      </c>
      <c r="M11" s="634">
        <v>497.80274193548399</v>
      </c>
      <c r="N11" s="634">
        <v>499.90899999999993</v>
      </c>
      <c r="O11" s="634">
        <v>499.74774193548387</v>
      </c>
      <c r="Q11" s="634">
        <f t="shared" si="1"/>
        <v>500.82177419354844</v>
      </c>
      <c r="R11" s="634">
        <f t="shared" si="2"/>
        <v>484.41793103448288</v>
      </c>
      <c r="S11" s="634">
        <f t="shared" si="3"/>
        <v>499.08645161290309</v>
      </c>
      <c r="T11" s="634">
        <f t="shared" si="4"/>
        <v>499.03366666666648</v>
      </c>
    </row>
    <row r="12" spans="2:20" ht="12" customHeight="1">
      <c r="B12" s="632">
        <f t="shared" si="5"/>
        <v>2013</v>
      </c>
      <c r="D12" s="634">
        <v>500.82177419354844</v>
      </c>
      <c r="E12" s="634">
        <v>484.41793103448288</v>
      </c>
      <c r="F12" s="634">
        <v>499.08645161290309</v>
      </c>
      <c r="G12" s="634">
        <v>499.03366666666648</v>
      </c>
      <c r="H12" s="634">
        <v>499.05983870967731</v>
      </c>
      <c r="I12" s="634">
        <v>498.88016666666675</v>
      </c>
      <c r="J12" s="634">
        <v>498.73145161290313</v>
      </c>
      <c r="K12" s="634">
        <v>499.10193548387105</v>
      </c>
      <c r="L12" s="634">
        <v>501.26383333333348</v>
      </c>
      <c r="M12" s="634">
        <v>500.0640322580644</v>
      </c>
      <c r="N12" s="634">
        <v>499.71333333333337</v>
      </c>
      <c r="O12" s="634">
        <v>499.72693548387099</v>
      </c>
      <c r="Q12" s="634">
        <f t="shared" si="1"/>
        <v>502.84274193548379</v>
      </c>
      <c r="R12" s="634">
        <f t="shared" si="2"/>
        <v>507.80465517241379</v>
      </c>
      <c r="S12" s="634">
        <f t="shared" si="3"/>
        <v>549.7111290322581</v>
      </c>
      <c r="T12" s="634">
        <f t="shared" si="4"/>
        <v>547.66633333333334</v>
      </c>
    </row>
    <row r="13" spans="2:20" ht="12" customHeight="1">
      <c r="B13" s="632">
        <f t="shared" si="5"/>
        <v>2014</v>
      </c>
      <c r="D13" s="634">
        <v>502.84274193548379</v>
      </c>
      <c r="E13" s="634">
        <v>507.80465517241379</v>
      </c>
      <c r="F13" s="634">
        <v>549.7111290322581</v>
      </c>
      <c r="G13" s="634">
        <v>547.66633333333334</v>
      </c>
      <c r="H13" s="634">
        <v>553.03661290322589</v>
      </c>
      <c r="I13" s="634">
        <v>550.61766666666665</v>
      </c>
      <c r="J13" s="634">
        <v>538.46161290322573</v>
      </c>
      <c r="K13" s="634">
        <v>539.6117741935484</v>
      </c>
      <c r="L13" s="634">
        <v>539.83033333333333</v>
      </c>
      <c r="M13" s="634">
        <v>539.60354838709679</v>
      </c>
      <c r="N13" s="634">
        <v>537.21766666666667</v>
      </c>
      <c r="O13" s="634">
        <v>535.2664516129031</v>
      </c>
      <c r="Q13" s="634">
        <f t="shared" si="1"/>
        <v>537.61951612903238</v>
      </c>
      <c r="R13" s="634">
        <f t="shared" si="2"/>
        <v>518.39068965517242</v>
      </c>
      <c r="S13" s="634">
        <f t="shared" si="3"/>
        <v>533.32532258064509</v>
      </c>
      <c r="T13" s="634">
        <f t="shared" si="4"/>
        <v>532.14716666666664</v>
      </c>
    </row>
    <row r="14" spans="2:20" ht="12" customHeight="1">
      <c r="B14" s="632">
        <f t="shared" si="5"/>
        <v>2015</v>
      </c>
      <c r="D14" s="634">
        <v>537.61951612903238</v>
      </c>
      <c r="E14" s="634">
        <v>518.39068965517242</v>
      </c>
      <c r="F14" s="634">
        <v>533.32532258064509</v>
      </c>
      <c r="G14" s="634">
        <v>532.14716666666664</v>
      </c>
      <c r="H14" s="634">
        <v>532.84629032258067</v>
      </c>
      <c r="I14" s="634">
        <v>535.76750000000004</v>
      </c>
      <c r="J14" s="634">
        <v>534.52838709677428</v>
      </c>
      <c r="K14" s="634">
        <v>534.24290322580646</v>
      </c>
      <c r="L14" s="634">
        <v>535.01016666666669</v>
      </c>
      <c r="M14" s="634">
        <v>534.5654838709678</v>
      </c>
      <c r="N14" s="634">
        <v>533.48766666666666</v>
      </c>
      <c r="O14" s="634">
        <v>534.34419354838712</v>
      </c>
      <c r="Q14" s="634">
        <f t="shared" si="1"/>
        <v>536.42838709677414</v>
      </c>
      <c r="R14" s="634">
        <f t="shared" si="2"/>
        <v>536.69913793103444</v>
      </c>
      <c r="S14" s="634">
        <f t="shared" si="3"/>
        <v>535.41483870967772</v>
      </c>
      <c r="T14" s="634">
        <f t="shared" si="4"/>
        <v>536.07100000000003</v>
      </c>
    </row>
    <row r="15" spans="2:20" ht="12" customHeight="1">
      <c r="B15" s="632">
        <f t="shared" si="5"/>
        <v>2016</v>
      </c>
      <c r="D15" s="634">
        <v>536.42838709677414</v>
      </c>
      <c r="E15" s="634">
        <v>536.69913793103444</v>
      </c>
      <c r="F15" s="634">
        <v>535.41483870967772</v>
      </c>
      <c r="G15" s="634">
        <v>536.07100000000003</v>
      </c>
      <c r="H15" s="634">
        <v>537.51274193548386</v>
      </c>
      <c r="I15" s="634">
        <v>543.39283333333333</v>
      </c>
      <c r="J15" s="634">
        <v>548.2177419354839</v>
      </c>
      <c r="K15" s="634">
        <v>550.6474193548388</v>
      </c>
      <c r="L15" s="634">
        <v>552.18883333333349</v>
      </c>
      <c r="M15" s="634">
        <v>553.43709677419361</v>
      </c>
      <c r="N15" s="634">
        <v>554.36366666666663</v>
      </c>
      <c r="O15" s="634">
        <v>552.49870967741947</v>
      </c>
      <c r="Q15" s="634">
        <f t="shared" si="1"/>
        <v>554.79790322580652</v>
      </c>
      <c r="R15" s="634">
        <f t="shared" si="2"/>
        <v>541.04172413793106</v>
      </c>
      <c r="S15" s="634">
        <f t="shared" si="3"/>
        <v>559.93161290322564</v>
      </c>
      <c r="T15" s="634">
        <f t="shared" si="4"/>
        <v>562.09633333333329</v>
      </c>
    </row>
    <row r="16" spans="2:20" ht="12" customHeight="1">
      <c r="B16" s="632">
        <f t="shared" si="5"/>
        <v>2017</v>
      </c>
      <c r="D16" s="634">
        <v>554.79790322580652</v>
      </c>
      <c r="E16" s="634">
        <v>541.04172413793106</v>
      </c>
      <c r="F16" s="634">
        <v>559.93161290322564</v>
      </c>
      <c r="G16" s="634">
        <v>562.09633333333329</v>
      </c>
      <c r="H16" s="634">
        <v>574.17370967741931</v>
      </c>
      <c r="I16" s="634">
        <v>570.54333333333329</v>
      </c>
      <c r="J16" s="634">
        <v>572.03467741935481</v>
      </c>
      <c r="K16" s="634">
        <v>574.74532258064539</v>
      </c>
      <c r="L16" s="634">
        <v>575.82749999999999</v>
      </c>
      <c r="M16" s="634">
        <v>571.31112903225812</v>
      </c>
      <c r="N16" s="634">
        <v>567.69849999999997</v>
      </c>
      <c r="O16" s="634">
        <v>566.63241935483882</v>
      </c>
      <c r="Q16" s="634">
        <f t="shared" si="1"/>
        <v>569.06016129032264</v>
      </c>
      <c r="R16" s="634">
        <f t="shared" si="2"/>
        <v>550.97224137931028</v>
      </c>
      <c r="S16" s="634">
        <f t="shared" si="3"/>
        <v>567.216935483871</v>
      </c>
      <c r="T16" s="634">
        <f t="shared" si="4"/>
        <v>565.20583333333343</v>
      </c>
    </row>
    <row r="17" spans="2:20" ht="12" customHeight="1">
      <c r="B17" s="632">
        <f t="shared" si="5"/>
        <v>2018</v>
      </c>
      <c r="D17" s="634">
        <v>569.06016129032264</v>
      </c>
      <c r="E17" s="634">
        <v>550.97224137931028</v>
      </c>
      <c r="F17" s="634">
        <v>567.216935483871</v>
      </c>
      <c r="G17" s="634">
        <v>565.20583333333343</v>
      </c>
      <c r="H17" s="634">
        <v>565.25612903225795</v>
      </c>
      <c r="I17" s="634">
        <v>567.31600000000003</v>
      </c>
      <c r="J17" s="634">
        <v>567.09387096774196</v>
      </c>
      <c r="K17" s="634">
        <v>567.84500000000003</v>
      </c>
      <c r="L17" s="634">
        <v>579.15266666666673</v>
      </c>
      <c r="M17" s="634">
        <v>592.39274193548385</v>
      </c>
      <c r="N17" s="634">
        <v>611.37150000000008</v>
      </c>
      <c r="O17" s="634">
        <v>601.10935483870958</v>
      </c>
      <c r="Q17" s="634">
        <f t="shared" si="1"/>
        <v>606.14274193548385</v>
      </c>
      <c r="R17" s="634">
        <f t="shared" si="2"/>
        <v>589.02068965517253</v>
      </c>
      <c r="S17" s="634">
        <f t="shared" si="3"/>
        <v>603.75709677419366</v>
      </c>
      <c r="T17" s="634">
        <f t="shared" si="4"/>
        <v>599.80700000000002</v>
      </c>
    </row>
    <row r="18" spans="2:20" ht="12" customHeight="1">
      <c r="B18" s="632">
        <f t="shared" si="5"/>
        <v>2019</v>
      </c>
      <c r="D18" s="634">
        <v>606.14274193548385</v>
      </c>
      <c r="E18" s="634">
        <v>589.02068965517253</v>
      </c>
      <c r="F18" s="634">
        <v>603.75709677419366</v>
      </c>
      <c r="G18" s="634">
        <v>599.80700000000002</v>
      </c>
      <c r="H18" s="634">
        <v>591.99096774193549</v>
      </c>
      <c r="I18" s="634">
        <v>586.42116666666664</v>
      </c>
      <c r="J18" s="634">
        <v>576.92645161290318</v>
      </c>
      <c r="K18" s="634">
        <v>568.50387096774193</v>
      </c>
      <c r="L18" s="634">
        <v>577.90549999999973</v>
      </c>
      <c r="M18" s="634">
        <v>581.14467741935471</v>
      </c>
      <c r="N18" s="634">
        <v>576.43450000000007</v>
      </c>
      <c r="O18" s="634">
        <v>568.44403225806434</v>
      </c>
      <c r="Q18" s="634">
        <f t="shared" si="1"/>
        <v>570.13129032258064</v>
      </c>
      <c r="R18" s="634">
        <f t="shared" si="2"/>
        <v>571.1756896551725</v>
      </c>
      <c r="S18" s="634">
        <f t="shared" si="3"/>
        <v>571.18258064516124</v>
      </c>
      <c r="T18" s="634">
        <f t="shared" si="4"/>
        <v>568.94449999999983</v>
      </c>
    </row>
    <row r="19" spans="2:20" ht="12" customHeight="1">
      <c r="B19" s="632">
        <f t="shared" si="5"/>
        <v>2020</v>
      </c>
      <c r="D19" s="634">
        <v>570.13129032258064</v>
      </c>
      <c r="E19" s="634">
        <v>571.1756896551725</v>
      </c>
      <c r="F19" s="634">
        <v>571.18258064516124</v>
      </c>
      <c r="G19" s="634">
        <v>568.94449999999983</v>
      </c>
      <c r="H19" s="634">
        <v>569.8790322580644</v>
      </c>
      <c r="I19" s="634">
        <v>577.50716666666665</v>
      </c>
      <c r="J19" s="634">
        <v>582.06467741935489</v>
      </c>
      <c r="K19" s="634">
        <v>592.83064516129025</v>
      </c>
      <c r="L19" s="634">
        <v>598.005</v>
      </c>
      <c r="M19" s="634">
        <v>603.43709677419338</v>
      </c>
      <c r="N19" s="634">
        <v>607.46000000000015</v>
      </c>
      <c r="O19" s="634">
        <v>606.19258064516134</v>
      </c>
      <c r="Q19" s="634">
        <f t="shared" si="1"/>
        <v>611.82838709677424</v>
      </c>
      <c r="R19" s="634">
        <f t="shared" si="2"/>
        <v>589.93913793103434</v>
      </c>
      <c r="S19" s="634">
        <f t="shared" si="3"/>
        <v>610.95709677419336</v>
      </c>
      <c r="T19" s="634">
        <f t="shared" si="4"/>
        <v>613.22533333333342</v>
      </c>
    </row>
    <row r="20" spans="2:20" ht="12" customHeight="1">
      <c r="B20" s="632">
        <f t="shared" si="5"/>
        <v>2021</v>
      </c>
      <c r="D20" s="634">
        <v>611.82838709677424</v>
      </c>
      <c r="E20" s="634">
        <v>589.93913793103434</v>
      </c>
      <c r="F20" s="634">
        <v>610.95709677419336</v>
      </c>
      <c r="G20" s="634">
        <v>613.22533333333342</v>
      </c>
      <c r="H20" s="634">
        <v>615.4000000000002</v>
      </c>
      <c r="I20" s="634">
        <v>617.52100000000007</v>
      </c>
      <c r="J20" s="634">
        <v>618.90822580645158</v>
      </c>
      <c r="K20" s="634">
        <v>620.44967741935488</v>
      </c>
      <c r="L20" s="634">
        <v>624.7733333333332</v>
      </c>
      <c r="M20" s="634">
        <v>629.7862903225805</v>
      </c>
      <c r="N20" s="634">
        <v>637.6310000000002</v>
      </c>
      <c r="O20" s="634">
        <v>637.9279032258064</v>
      </c>
      <c r="Q20" s="634">
        <f t="shared" si="1"/>
        <v>638.56064516129004</v>
      </c>
      <c r="R20" s="634">
        <f t="shared" si="2"/>
        <v>620.27293103448278</v>
      </c>
      <c r="S20" s="634">
        <f t="shared" si="3"/>
        <v>650.09419354838712</v>
      </c>
      <c r="T20" s="634">
        <f t="shared" si="4"/>
        <v>658.62800000000027</v>
      </c>
    </row>
    <row r="21" spans="2:20" ht="12" customHeight="1">
      <c r="B21" s="632">
        <f t="shared" si="5"/>
        <v>2022</v>
      </c>
      <c r="D21" s="634">
        <v>638.56064516129004</v>
      </c>
      <c r="E21" s="634">
        <v>620.27293103448278</v>
      </c>
      <c r="F21" s="634">
        <v>650.09419354838712</v>
      </c>
      <c r="G21" s="634">
        <v>658.62800000000027</v>
      </c>
      <c r="H21" s="634">
        <v>673.0040322580644</v>
      </c>
      <c r="I21" s="634">
        <v>689.03266666666661</v>
      </c>
      <c r="J21" s="634">
        <v>681.27741935483846</v>
      </c>
      <c r="K21" s="634">
        <v>659.2416129032257</v>
      </c>
      <c r="L21" s="634">
        <v>642.50350000000014</v>
      </c>
      <c r="M21" s="634">
        <v>625.63032258064516</v>
      </c>
      <c r="N21" s="634">
        <v>612.15683333333322</v>
      </c>
      <c r="O21" s="634">
        <v>593.1970967741936</v>
      </c>
      <c r="Q21" s="634">
        <f t="shared" si="1"/>
        <v>575.98322580645151</v>
      </c>
      <c r="R21" s="634">
        <f t="shared" si="2"/>
        <v>567.33160714285714</v>
      </c>
      <c r="S21" s="634">
        <f t="shared" si="3"/>
        <v>548.05080645161286</v>
      </c>
      <c r="T21" s="634">
        <f t="shared" si="4"/>
        <v>538.74500000000012</v>
      </c>
    </row>
    <row r="22" spans="2:20" ht="12" customHeight="1">
      <c r="B22" s="632">
        <f t="shared" si="5"/>
        <v>2023</v>
      </c>
      <c r="D22" s="634">
        <v>575.98322580645151</v>
      </c>
      <c r="E22" s="634">
        <v>567.33160714285714</v>
      </c>
      <c r="F22" s="634">
        <v>548.05080645161286</v>
      </c>
      <c r="G22" s="634">
        <v>538.74500000000012</v>
      </c>
      <c r="H22" s="634">
        <v>541.29435483870964</v>
      </c>
      <c r="I22" s="634">
        <v>543.23366666666664</v>
      </c>
      <c r="J22" s="634">
        <v>544.16516129032266</v>
      </c>
      <c r="K22" s="634">
        <v>539.66903225806459</v>
      </c>
      <c r="L22" s="634">
        <v>536.21483333333344</v>
      </c>
      <c r="M22" s="634">
        <v>534.2424193548386</v>
      </c>
      <c r="N22" s="634">
        <v>532.86016666666671</v>
      </c>
      <c r="O22" s="634">
        <v>526.81903225806445</v>
      </c>
      <c r="Q22" s="634">
        <f t="shared" si="1"/>
        <v>518.30500000000006</v>
      </c>
      <c r="R22" s="634">
        <f t="shared" si="2"/>
        <v>516.30241379310337</v>
      </c>
      <c r="S22" s="634">
        <f t="shared" si="3"/>
        <v>506.80596774193555</v>
      </c>
      <c r="T22" s="634">
        <f t="shared" si="4"/>
        <v>501.77599999999995</v>
      </c>
    </row>
    <row r="23" spans="2:20" ht="12" customHeight="1">
      <c r="B23" s="632">
        <f t="shared" si="5"/>
        <v>2024</v>
      </c>
      <c r="D23" s="634">
        <v>518.30500000000006</v>
      </c>
      <c r="E23" s="634">
        <v>516.30241379310337</v>
      </c>
      <c r="F23" s="634">
        <v>506.80596774193555</v>
      </c>
      <c r="G23" s="634">
        <v>501.77599999999995</v>
      </c>
      <c r="H23" s="634">
        <v>512.21548387096777</v>
      </c>
      <c r="I23" s="634">
        <v>525.6251666666667</v>
      </c>
      <c r="J23" s="634">
        <v>526.20709677419359</v>
      </c>
      <c r="K23" s="634">
        <v>522.7856451612904</v>
      </c>
      <c r="L23" s="634">
        <v>519.00516666666658</v>
      </c>
      <c r="M23" s="634">
        <v>515.68306451612909</v>
      </c>
      <c r="N23" s="634">
        <v>510.46899999999999</v>
      </c>
      <c r="O23" s="634">
        <v>506.02306451612895</v>
      </c>
      <c r="Q23" s="634">
        <f t="shared" si="1"/>
        <v>505.62032258064511</v>
      </c>
      <c r="R23" s="634">
        <f t="shared" si="2"/>
        <v>506.9232142857141</v>
      </c>
      <c r="S23" s="634">
        <f t="shared" si="3"/>
        <v>501.14129032258057</v>
      </c>
      <c r="T23" s="634">
        <f t="shared" si="4"/>
        <v>505.09783333333331</v>
      </c>
    </row>
    <row r="24" spans="2:20" ht="12" customHeight="1">
      <c r="B24" s="632">
        <f t="shared" si="5"/>
        <v>2025</v>
      </c>
      <c r="D24" s="634">
        <v>505.62032258064511</v>
      </c>
      <c r="E24" s="634">
        <v>506.9232142857141</v>
      </c>
      <c r="F24" s="634">
        <v>501.14129032258057</v>
      </c>
      <c r="G24" s="634">
        <v>505.09783333333331</v>
      </c>
      <c r="H24" s="634">
        <v>506.21645161290314</v>
      </c>
      <c r="I24" s="634">
        <v>505.73649999999998</v>
      </c>
      <c r="J24" s="634">
        <v>504.49983870967742</v>
      </c>
      <c r="K24" s="634">
        <v>504.69064516129043</v>
      </c>
      <c r="L24" s="634">
        <v>504.53466666666657</v>
      </c>
      <c r="M24" s="634">
        <v>503.09403225806471</v>
      </c>
      <c r="N24" s="634">
        <v>499.608</v>
      </c>
      <c r="O24" s="634">
        <v>494.79919354838711</v>
      </c>
      <c r="Q24" s="634">
        <f t="shared" ref="Q24" si="6">D25</f>
        <v>495.13500000000005</v>
      </c>
      <c r="R24" s="634">
        <f t="shared" ref="R24" si="7">E25</f>
        <v>484.16964285714283</v>
      </c>
      <c r="S24" s="634">
        <f t="shared" ref="S24" si="8">F25</f>
        <v>469.22822580645152</v>
      </c>
      <c r="T24" s="634">
        <f t="shared" ref="T24" si="9">G25</f>
        <v>459.41650000000004</v>
      </c>
    </row>
    <row r="25" spans="2:20" ht="12" customHeight="1">
      <c r="B25" s="632">
        <v>2026</v>
      </c>
      <c r="D25" s="634">
        <v>495.13500000000005</v>
      </c>
      <c r="E25" s="634">
        <v>484.16964285714283</v>
      </c>
      <c r="F25" s="634">
        <v>469.22822580645152</v>
      </c>
      <c r="G25" s="634">
        <v>459.41650000000004</v>
      </c>
      <c r="H25" s="634">
        <v>454.43193548387109</v>
      </c>
      <c r="I25" s="634">
        <v>455.52483333333345</v>
      </c>
      <c r="J25" s="634">
        <v>451.81018518518516</v>
      </c>
      <c r="K25" s="634"/>
      <c r="L25" s="634"/>
      <c r="M25" s="634"/>
      <c r="N25" s="634"/>
      <c r="O25" s="634"/>
      <c r="Q25" s="634"/>
      <c r="R25" s="634"/>
      <c r="S25" s="634"/>
      <c r="T25" s="634"/>
    </row>
    <row r="27" spans="2:20" s="635" customFormat="1" ht="15.95" customHeight="1">
      <c r="B27" s="762">
        <f>IF(UNIT!Z1=1,UNIT!AD3,2025)</f>
        <v>2025</v>
      </c>
      <c r="D27" s="763">
        <f>LOOKUP($B$27,$B$5:$B$26,D5:D26)</f>
        <v>505.62032258064511</v>
      </c>
      <c r="E27" s="763">
        <f t="shared" ref="E27:O27" si="10">LOOKUP($B$27,$B$5:$B$26,E5:E26)</f>
        <v>506.9232142857141</v>
      </c>
      <c r="F27" s="763">
        <f t="shared" si="10"/>
        <v>501.14129032258057</v>
      </c>
      <c r="G27" s="763">
        <f t="shared" si="10"/>
        <v>505.09783333333331</v>
      </c>
      <c r="H27" s="763">
        <f t="shared" si="10"/>
        <v>506.21645161290314</v>
      </c>
      <c r="I27" s="763">
        <f t="shared" si="10"/>
        <v>505.73649999999998</v>
      </c>
      <c r="J27" s="763">
        <f t="shared" si="10"/>
        <v>504.49983870967742</v>
      </c>
      <c r="K27" s="763">
        <f t="shared" si="10"/>
        <v>504.69064516129043</v>
      </c>
      <c r="L27" s="763">
        <f t="shared" si="10"/>
        <v>504.53466666666657</v>
      </c>
      <c r="M27" s="763">
        <f t="shared" si="10"/>
        <v>503.09403225806471</v>
      </c>
      <c r="N27" s="763">
        <f t="shared" si="10"/>
        <v>499.608</v>
      </c>
      <c r="O27" s="763">
        <f t="shared" si="10"/>
        <v>494.79919354838711</v>
      </c>
      <c r="Q27" s="763">
        <f t="shared" ref="Q27:T27" si="11">LOOKUP($B$27,$B$5:$B$26,Q5:Q26)</f>
        <v>495.13500000000005</v>
      </c>
      <c r="R27" s="763">
        <f t="shared" si="11"/>
        <v>484.16964285714283</v>
      </c>
      <c r="S27" s="763">
        <f t="shared" si="11"/>
        <v>469.22822580645152</v>
      </c>
      <c r="T27" s="763">
        <f t="shared" si="11"/>
        <v>459.41650000000004</v>
      </c>
    </row>
  </sheetData>
  <sheetProtection algorithmName="SHA-512" hashValue="pQOj3wkttGR6S5t66X0jxYnQ787YU2LHREnCGpSuQ4TDtcRA6j3romna8SdOV8JoQMCIXjQru1HdKfVPRQ5AmQ==" saltValue="WPEBGX7MpPDmV0KDtEnTtQ==" spinCount="100000" sheet="1" objects="1" scenarios="1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D4B34"/>
  </sheetPr>
  <dimension ref="A1:AK101"/>
  <sheetViews>
    <sheetView showGridLines="0" workbookViewId="0">
      <selection activeCell="AI23" sqref="AI23"/>
    </sheetView>
  </sheetViews>
  <sheetFormatPr baseColWidth="10" defaultColWidth="11.42578125" defaultRowHeight="12.75"/>
  <cols>
    <col min="1" max="15" width="3.7109375" style="34" customWidth="1"/>
    <col min="16" max="16" width="2.140625" style="34" customWidth="1"/>
    <col min="17" max="17" width="25.140625" style="34" customWidth="1"/>
    <col min="18" max="33" width="8.28515625" style="34" customWidth="1"/>
    <col min="34" max="34" width="2.140625" style="34" customWidth="1"/>
    <col min="35" max="35" width="12.7109375" style="34" bestFit="1" customWidth="1"/>
    <col min="36" max="36" width="11.42578125" style="34"/>
    <col min="37" max="37" width="11.7109375" style="34" bestFit="1" customWidth="1"/>
    <col min="38" max="16384" width="11.42578125" style="34"/>
  </cols>
  <sheetData>
    <row r="1" spans="17:33" ht="20.25">
      <c r="Q1" s="730" t="s">
        <v>541</v>
      </c>
      <c r="R1" s="731"/>
      <c r="S1" s="731"/>
      <c r="T1" s="731"/>
      <c r="U1" s="731"/>
      <c r="V1" s="731"/>
      <c r="W1" s="731"/>
      <c r="X1" s="731"/>
      <c r="Y1" s="731"/>
      <c r="Z1" s="731"/>
      <c r="AA1" s="731"/>
      <c r="AB1" s="731"/>
      <c r="AC1" s="731"/>
      <c r="AD1" s="731"/>
      <c r="AE1" s="731"/>
      <c r="AF1" s="731"/>
      <c r="AG1" s="731"/>
    </row>
    <row r="2" spans="17:33" ht="20.25">
      <c r="Q2" s="730" t="s">
        <v>542</v>
      </c>
      <c r="R2" s="731"/>
      <c r="S2" s="731"/>
      <c r="T2" s="731"/>
      <c r="U2" s="731"/>
      <c r="V2" s="731"/>
      <c r="W2" s="731"/>
      <c r="X2" s="731"/>
      <c r="Y2" s="731"/>
      <c r="Z2" s="731"/>
      <c r="AA2" s="731"/>
      <c r="AB2" s="731"/>
      <c r="AC2" s="731"/>
      <c r="AD2" s="731"/>
      <c r="AE2" s="731"/>
      <c r="AF2" s="731"/>
      <c r="AG2" s="731"/>
    </row>
    <row r="3" spans="17:33" ht="20.25">
      <c r="Q3" s="730" t="str">
        <f>UPPER(FICHA!D36)</f>
        <v>COSECHA 2026-2027</v>
      </c>
      <c r="R3" s="731"/>
      <c r="S3" s="731"/>
      <c r="T3" s="731"/>
      <c r="U3" s="731"/>
      <c r="V3" s="731"/>
      <c r="W3" s="731"/>
      <c r="X3" s="731"/>
      <c r="Y3" s="731"/>
      <c r="Z3" s="731"/>
      <c r="AA3" s="731"/>
      <c r="AB3" s="731"/>
      <c r="AC3" s="731"/>
      <c r="AD3" s="731"/>
      <c r="AE3" s="731"/>
      <c r="AF3" s="731"/>
      <c r="AG3" s="731"/>
    </row>
    <row r="4" spans="17:33" ht="13.5" thickBot="1"/>
    <row r="5" spans="17:33" ht="18" customHeight="1" thickBot="1">
      <c r="R5" s="197" t="str">
        <f>'R1-Estruc'!B3</f>
        <v>Cosecha 2026-2027 (abr-mar)</v>
      </c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9"/>
    </row>
    <row r="6" spans="17:33" ht="18" customHeight="1" thickBot="1">
      <c r="Q6" s="65" t="s">
        <v>107</v>
      </c>
      <c r="R6" s="172" t="s">
        <v>197</v>
      </c>
      <c r="S6" s="172" t="s">
        <v>198</v>
      </c>
      <c r="T6" s="172" t="s">
        <v>199</v>
      </c>
      <c r="U6" s="172" t="s">
        <v>200</v>
      </c>
      <c r="V6" s="172" t="s">
        <v>201</v>
      </c>
      <c r="W6" s="172" t="s">
        <v>202</v>
      </c>
      <c r="X6" s="172" t="s">
        <v>203</v>
      </c>
      <c r="Y6" s="172" t="s">
        <v>204</v>
      </c>
      <c r="Z6" s="172" t="s">
        <v>205</v>
      </c>
      <c r="AA6" s="172" t="s">
        <v>206</v>
      </c>
      <c r="AB6" s="172" t="s">
        <v>207</v>
      </c>
      <c r="AC6" s="172" t="s">
        <v>208</v>
      </c>
      <c r="AD6" s="172" t="s">
        <v>197</v>
      </c>
      <c r="AE6" s="172" t="s">
        <v>198</v>
      </c>
      <c r="AF6" s="172" t="s">
        <v>199</v>
      </c>
      <c r="AG6" s="66" t="s">
        <v>200</v>
      </c>
    </row>
    <row r="7" spans="17:33" ht="18" customHeight="1">
      <c r="Q7" s="721" t="s">
        <v>1</v>
      </c>
      <c r="R7" s="718"/>
      <c r="S7" s="712">
        <v>1</v>
      </c>
      <c r="T7" s="712">
        <v>1</v>
      </c>
      <c r="U7" s="712"/>
      <c r="V7" s="712"/>
      <c r="W7" s="712"/>
      <c r="X7" s="712"/>
      <c r="Y7" s="712"/>
      <c r="Z7" s="712"/>
      <c r="AA7" s="712"/>
      <c r="AB7" s="712"/>
      <c r="AC7" s="712"/>
      <c r="AD7" s="712"/>
      <c r="AE7" s="712"/>
      <c r="AF7" s="712"/>
      <c r="AG7" s="713"/>
    </row>
    <row r="8" spans="17:33" ht="18" customHeight="1">
      <c r="Q8" s="722" t="s">
        <v>2</v>
      </c>
      <c r="R8" s="719"/>
      <c r="S8" s="714"/>
      <c r="T8" s="714"/>
      <c r="U8" s="714"/>
      <c r="V8" s="714"/>
      <c r="W8" s="714">
        <v>1</v>
      </c>
      <c r="X8" s="714"/>
      <c r="Y8" s="714">
        <v>1</v>
      </c>
      <c r="Z8" s="714">
        <v>1</v>
      </c>
      <c r="AA8" s="714"/>
      <c r="AB8" s="714"/>
      <c r="AC8" s="714"/>
      <c r="AD8" s="714"/>
      <c r="AE8" s="714"/>
      <c r="AF8" s="714"/>
      <c r="AG8" s="715"/>
    </row>
    <row r="9" spans="17:33" ht="18" customHeight="1">
      <c r="Q9" s="722" t="s">
        <v>3</v>
      </c>
      <c r="R9" s="719"/>
      <c r="S9" s="714"/>
      <c r="T9" s="714"/>
      <c r="U9" s="714">
        <v>1</v>
      </c>
      <c r="V9" s="714">
        <v>1</v>
      </c>
      <c r="W9" s="714">
        <v>1</v>
      </c>
      <c r="X9" s="714"/>
      <c r="Y9" s="714"/>
      <c r="Z9" s="714"/>
      <c r="AA9" s="714">
        <v>1</v>
      </c>
      <c r="AB9" s="714"/>
      <c r="AC9" s="714"/>
      <c r="AD9" s="714"/>
      <c r="AE9" s="714"/>
      <c r="AF9" s="714"/>
      <c r="AG9" s="715"/>
    </row>
    <row r="10" spans="17:33" ht="18" customHeight="1">
      <c r="Q10" s="722" t="s">
        <v>83</v>
      </c>
      <c r="R10" s="719"/>
      <c r="S10" s="714"/>
      <c r="T10" s="714"/>
      <c r="U10" s="714"/>
      <c r="V10" s="714">
        <v>1</v>
      </c>
      <c r="W10" s="714">
        <v>1</v>
      </c>
      <c r="X10" s="714">
        <v>1</v>
      </c>
      <c r="Y10" s="714"/>
      <c r="Z10" s="714"/>
      <c r="AA10" s="714"/>
      <c r="AB10" s="714"/>
      <c r="AC10" s="714"/>
      <c r="AD10" s="714"/>
      <c r="AE10" s="714"/>
      <c r="AF10" s="714"/>
      <c r="AG10" s="715"/>
    </row>
    <row r="11" spans="17:33" ht="18" customHeight="1">
      <c r="Q11" s="722" t="s">
        <v>84</v>
      </c>
      <c r="R11" s="719"/>
      <c r="S11" s="714"/>
      <c r="T11" s="714"/>
      <c r="U11" s="714"/>
      <c r="V11" s="714">
        <v>1</v>
      </c>
      <c r="W11" s="714">
        <v>1</v>
      </c>
      <c r="X11" s="714"/>
      <c r="Y11" s="714">
        <v>1</v>
      </c>
      <c r="Z11" s="714"/>
      <c r="AA11" s="714"/>
      <c r="AB11" s="714">
        <v>1</v>
      </c>
      <c r="AC11" s="714"/>
      <c r="AD11" s="714"/>
      <c r="AE11" s="714"/>
      <c r="AF11" s="714"/>
      <c r="AG11" s="715"/>
    </row>
    <row r="12" spans="17:33" ht="18" customHeight="1">
      <c r="Q12" s="722" t="s">
        <v>5</v>
      </c>
      <c r="R12" s="719"/>
      <c r="S12" s="714"/>
      <c r="T12" s="714"/>
      <c r="U12" s="714">
        <v>1</v>
      </c>
      <c r="V12" s="714">
        <v>1</v>
      </c>
      <c r="W12" s="714"/>
      <c r="X12" s="714"/>
      <c r="Y12" s="714"/>
      <c r="Z12" s="714"/>
      <c r="AA12" s="714"/>
      <c r="AB12" s="714"/>
      <c r="AC12" s="714"/>
      <c r="AD12" s="714"/>
      <c r="AE12" s="714"/>
      <c r="AF12" s="714"/>
      <c r="AG12" s="715"/>
    </row>
    <row r="13" spans="17:33" ht="18" customHeight="1">
      <c r="Q13" s="722" t="s">
        <v>6</v>
      </c>
      <c r="R13" s="719"/>
      <c r="S13" s="714">
        <v>1</v>
      </c>
      <c r="T13" s="714">
        <v>1</v>
      </c>
      <c r="U13" s="714">
        <v>1</v>
      </c>
      <c r="V13" s="714">
        <v>1</v>
      </c>
      <c r="W13" s="714">
        <v>1</v>
      </c>
      <c r="X13" s="714">
        <v>1</v>
      </c>
      <c r="Y13" s="714">
        <v>1</v>
      </c>
      <c r="Z13" s="714">
        <v>1</v>
      </c>
      <c r="AA13" s="714">
        <v>1</v>
      </c>
      <c r="AB13" s="714">
        <v>1</v>
      </c>
      <c r="AC13" s="714"/>
      <c r="AD13" s="714"/>
      <c r="AE13" s="714"/>
      <c r="AF13" s="714"/>
      <c r="AG13" s="715"/>
    </row>
    <row r="14" spans="17:33" ht="18" customHeight="1">
      <c r="Q14" s="723" t="s">
        <v>380</v>
      </c>
      <c r="R14" s="719"/>
      <c r="S14" s="714"/>
      <c r="T14" s="714"/>
      <c r="U14" s="714"/>
      <c r="V14" s="714"/>
      <c r="W14" s="714">
        <v>1</v>
      </c>
      <c r="X14" s="714">
        <v>1</v>
      </c>
      <c r="Y14" s="714"/>
      <c r="Z14" s="714"/>
      <c r="AA14" s="714"/>
      <c r="AB14" s="714"/>
      <c r="AC14" s="714">
        <v>1</v>
      </c>
      <c r="AD14" s="714">
        <v>1</v>
      </c>
      <c r="AE14" s="714"/>
      <c r="AF14" s="714"/>
      <c r="AG14" s="715"/>
    </row>
    <row r="15" spans="17:33" ht="18" customHeight="1">
      <c r="Q15" s="723" t="s">
        <v>381</v>
      </c>
      <c r="R15" s="719"/>
      <c r="S15" s="714"/>
      <c r="T15" s="714"/>
      <c r="U15" s="714">
        <v>1</v>
      </c>
      <c r="V15" s="714">
        <v>1</v>
      </c>
      <c r="W15" s="714"/>
      <c r="X15" s="714">
        <v>1</v>
      </c>
      <c r="Y15" s="714">
        <v>1</v>
      </c>
      <c r="Z15" s="714">
        <v>1</v>
      </c>
      <c r="AA15" s="714">
        <v>1</v>
      </c>
      <c r="AB15" s="714"/>
      <c r="AC15" s="714"/>
      <c r="AD15" s="714"/>
      <c r="AE15" s="714"/>
      <c r="AF15" s="714"/>
      <c r="AG15" s="715"/>
    </row>
    <row r="16" spans="17:33" ht="18" customHeight="1">
      <c r="Q16" s="722" t="s">
        <v>9</v>
      </c>
      <c r="R16" s="719"/>
      <c r="S16" s="714"/>
      <c r="T16" s="714"/>
      <c r="U16" s="714"/>
      <c r="V16" s="714">
        <v>1</v>
      </c>
      <c r="W16" s="714">
        <v>1</v>
      </c>
      <c r="X16" s="714">
        <v>1</v>
      </c>
      <c r="Y16" s="714">
        <v>1</v>
      </c>
      <c r="Z16" s="714"/>
      <c r="AA16" s="714"/>
      <c r="AB16" s="714"/>
      <c r="AC16" s="714"/>
      <c r="AD16" s="714"/>
      <c r="AE16" s="714"/>
      <c r="AF16" s="714"/>
      <c r="AG16" s="715"/>
    </row>
    <row r="17" spans="1:35" ht="18" customHeight="1" thickBot="1">
      <c r="Q17" s="724" t="s">
        <v>108</v>
      </c>
      <c r="R17" s="720"/>
      <c r="S17" s="716"/>
      <c r="T17" s="716"/>
      <c r="U17" s="716">
        <v>1</v>
      </c>
      <c r="V17" s="716">
        <v>1</v>
      </c>
      <c r="W17" s="716">
        <v>1</v>
      </c>
      <c r="X17" s="716"/>
      <c r="Y17" s="716"/>
      <c r="Z17" s="716"/>
      <c r="AA17" s="716"/>
      <c r="AB17" s="716"/>
      <c r="AC17" s="716"/>
      <c r="AD17" s="716"/>
      <c r="AE17" s="716"/>
      <c r="AF17" s="716"/>
      <c r="AG17" s="717"/>
    </row>
    <row r="18" spans="1:35" s="16" customFormat="1" ht="15.95" customHeight="1">
      <c r="Q18" s="16" t="s">
        <v>540</v>
      </c>
      <c r="R18" s="728"/>
      <c r="S18" s="728"/>
      <c r="T18" s="728"/>
      <c r="U18" s="728"/>
      <c r="V18" s="728"/>
      <c r="W18" s="728"/>
      <c r="X18" s="728"/>
      <c r="Y18" s="728"/>
      <c r="Z18" s="728"/>
      <c r="AA18" s="728"/>
      <c r="AB18" s="728"/>
      <c r="AC18" s="728"/>
      <c r="AD18" s="728"/>
      <c r="AE18" s="728"/>
      <c r="AF18" s="728"/>
      <c r="AG18" s="729"/>
    </row>
    <row r="19" spans="1:35" s="725" customFormat="1" ht="12.95" customHeight="1">
      <c r="Q19" s="17" t="s">
        <v>130</v>
      </c>
      <c r="R19" s="726"/>
      <c r="S19" s="726"/>
      <c r="T19" s="726"/>
      <c r="U19" s="726"/>
      <c r="V19" s="726"/>
      <c r="W19" s="726"/>
      <c r="X19" s="726"/>
      <c r="Y19" s="726"/>
      <c r="Z19" s="726"/>
      <c r="AA19" s="726"/>
      <c r="AB19" s="726"/>
      <c r="AC19" s="726"/>
      <c r="AD19" s="726"/>
      <c r="AE19" s="726"/>
      <c r="AF19" s="726"/>
      <c r="AG19" s="727"/>
    </row>
    <row r="20" spans="1:35" ht="13.5" thickBot="1"/>
    <row r="21" spans="1:35" ht="13.5" thickBot="1">
      <c r="Q21" s="173" t="s">
        <v>209</v>
      </c>
      <c r="R21" s="174"/>
      <c r="S21" s="174"/>
      <c r="T21" s="174"/>
      <c r="U21" s="174"/>
      <c r="V21" s="175">
        <v>0</v>
      </c>
      <c r="W21" s="175">
        <v>4.0055120878798529E-5</v>
      </c>
      <c r="X21" s="175">
        <v>4.9574009135574767E-4</v>
      </c>
      <c r="Y21" s="175">
        <v>1.7992485288600786E-3</v>
      </c>
      <c r="Z21" s="175">
        <v>8.9907207146660284E-3</v>
      </c>
      <c r="AA21" s="175">
        <v>6.7662300383336343E-2</v>
      </c>
      <c r="AB21" s="175">
        <v>0.18758726494945255</v>
      </c>
      <c r="AC21" s="175">
        <v>0.28318138856585495</v>
      </c>
      <c r="AD21" s="175">
        <v>0.27779148965420558</v>
      </c>
      <c r="AE21" s="175">
        <v>0.12292682691099736</v>
      </c>
      <c r="AF21" s="175">
        <v>4.905997018606819E-2</v>
      </c>
      <c r="AG21" s="176">
        <v>4.6499489432422111E-4</v>
      </c>
      <c r="AI21" s="766" t="s">
        <v>544</v>
      </c>
    </row>
    <row r="22" spans="1:35" ht="13.5" thickBot="1"/>
    <row r="23" spans="1:35" ht="13.5" thickBot="1">
      <c r="Q23" s="173" t="s">
        <v>210</v>
      </c>
      <c r="R23" s="174"/>
      <c r="S23" s="174"/>
      <c r="T23" s="175">
        <v>6.9698901805263058E-2</v>
      </c>
      <c r="U23" s="175">
        <v>0.13030727330431338</v>
      </c>
      <c r="V23" s="175">
        <v>0.27525031714625192</v>
      </c>
      <c r="W23" s="175">
        <v>0.26207796138482781</v>
      </c>
      <c r="X23" s="175">
        <v>4.376619821138937E-2</v>
      </c>
      <c r="Y23" s="175">
        <v>5.3600271040859647E-2</v>
      </c>
      <c r="Z23" s="175">
        <v>6.6883479848940317E-2</v>
      </c>
      <c r="AA23" s="175">
        <v>1.8741413826964141E-2</v>
      </c>
      <c r="AB23" s="175">
        <v>4.0134348620954274E-2</v>
      </c>
      <c r="AC23" s="175">
        <v>1.8667905524934445E-2</v>
      </c>
      <c r="AD23" s="175">
        <v>1.4464182535256368E-2</v>
      </c>
      <c r="AE23" s="175">
        <v>6.4077467500452219E-3</v>
      </c>
      <c r="AF23" s="175"/>
      <c r="AG23" s="176"/>
      <c r="AI23" s="766" t="s">
        <v>571</v>
      </c>
    </row>
    <row r="25" spans="1:35" ht="13.5" thickBot="1"/>
    <row r="26" spans="1:35" ht="13.5" thickBot="1">
      <c r="A26" s="178" t="s">
        <v>146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R26" s="197" t="str">
        <f>$R$5</f>
        <v>Cosecha 2026-2027 (abr-mar)</v>
      </c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9"/>
    </row>
    <row r="27" spans="1:35" ht="13.5" thickBot="1">
      <c r="A27" s="180" t="str">
        <f>S6</f>
        <v>Feb</v>
      </c>
      <c r="B27" s="180" t="str">
        <f t="shared" ref="B27:F27" si="0">T6</f>
        <v>Mar</v>
      </c>
      <c r="C27" s="180" t="str">
        <f t="shared" si="0"/>
        <v>Abr</v>
      </c>
      <c r="D27" s="180" t="str">
        <f t="shared" si="0"/>
        <v>May</v>
      </c>
      <c r="E27" s="180" t="str">
        <f t="shared" si="0"/>
        <v>Jun</v>
      </c>
      <c r="F27" s="180" t="str">
        <f t="shared" si="0"/>
        <v>Jul</v>
      </c>
      <c r="G27" s="180" t="str">
        <f t="shared" ref="G27" si="1">Y6</f>
        <v>Ago</v>
      </c>
      <c r="H27" s="180" t="str">
        <f t="shared" ref="H27" si="2">Z6</f>
        <v>Set</v>
      </c>
      <c r="I27" s="180" t="str">
        <f t="shared" ref="I27" si="3">AA6</f>
        <v>Oct</v>
      </c>
      <c r="J27" s="180" t="str">
        <f t="shared" ref="J27" si="4">AB6</f>
        <v>Nov</v>
      </c>
      <c r="K27" s="180" t="str">
        <f t="shared" ref="K27" si="5">AC6</f>
        <v>Dic</v>
      </c>
      <c r="L27" s="180" t="str">
        <f t="shared" ref="L27" si="6">AD6</f>
        <v>Ene</v>
      </c>
      <c r="M27" s="180" t="str">
        <f t="shared" ref="M27" si="7">AE6</f>
        <v>Feb</v>
      </c>
      <c r="N27" s="180" t="str">
        <f t="shared" ref="N27:O27" si="8">AF6</f>
        <v>Mar</v>
      </c>
      <c r="O27" s="180" t="str">
        <f t="shared" si="8"/>
        <v>Abr</v>
      </c>
      <c r="Q27" s="65" t="s">
        <v>107</v>
      </c>
      <c r="R27" s="172" t="s">
        <v>197</v>
      </c>
      <c r="S27" s="188" t="s">
        <v>198</v>
      </c>
      <c r="T27" s="188" t="s">
        <v>199</v>
      </c>
      <c r="U27" s="188" t="s">
        <v>200</v>
      </c>
      <c r="V27" s="188" t="s">
        <v>201</v>
      </c>
      <c r="W27" s="188" t="s">
        <v>202</v>
      </c>
      <c r="X27" s="188" t="s">
        <v>203</v>
      </c>
      <c r="Y27" s="188" t="s">
        <v>204</v>
      </c>
      <c r="Z27" s="188" t="s">
        <v>205</v>
      </c>
      <c r="AA27" s="188" t="s">
        <v>206</v>
      </c>
      <c r="AB27" s="188" t="s">
        <v>207</v>
      </c>
      <c r="AC27" s="188" t="s">
        <v>208</v>
      </c>
      <c r="AD27" s="188" t="s">
        <v>197</v>
      </c>
      <c r="AE27" s="188" t="s">
        <v>198</v>
      </c>
      <c r="AF27" s="188" t="s">
        <v>199</v>
      </c>
      <c r="AG27" s="66" t="s">
        <v>200</v>
      </c>
    </row>
    <row r="28" spans="1:35">
      <c r="A28" s="185">
        <f>FICHA!B4*50%</f>
        <v>12.35</v>
      </c>
      <c r="B28" s="185">
        <f>A28</f>
        <v>12.35</v>
      </c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Q28" s="34" t="s">
        <v>1</v>
      </c>
      <c r="R28" s="190"/>
      <c r="S28" s="191">
        <f>'R2-Labor'!D9/2</f>
        <v>20689.382146637548</v>
      </c>
      <c r="T28" s="191">
        <f>S28</f>
        <v>20689.382146637548</v>
      </c>
      <c r="U28" s="191" t="str">
        <f>IF(C28=0,"",C28*FICHA!$E$5)</f>
        <v/>
      </c>
      <c r="V28" s="191" t="str">
        <f>IF(D28=0,"",D28*FICHA!$E$5)</f>
        <v/>
      </c>
      <c r="W28" s="191" t="str">
        <f>IF(E28=0,"",E28*FICHA!$E$5)</f>
        <v/>
      </c>
      <c r="X28" s="191" t="str">
        <f>IF(F28=0,"",F28*FICHA!$E$5)</f>
        <v/>
      </c>
      <c r="Y28" s="191" t="str">
        <f>IF(G28=0,"",G28*FICHA!$E$5)</f>
        <v/>
      </c>
      <c r="Z28" s="191" t="str">
        <f>IF(H28=0,"",H28*FICHA!$E$5)</f>
        <v/>
      </c>
      <c r="AA28" s="191" t="str">
        <f>IF(I28=0,"",I28*FICHA!$E$5)</f>
        <v/>
      </c>
      <c r="AB28" s="191" t="str">
        <f>IF(J28=0,"",J28*FICHA!$E$5)</f>
        <v/>
      </c>
      <c r="AC28" s="191" t="str">
        <f>IF(K28=0,"",K28*FICHA!$E$5)</f>
        <v/>
      </c>
      <c r="AD28" s="191" t="str">
        <f>IF(L28=0,"",L28*FICHA!$E$5)</f>
        <v/>
      </c>
      <c r="AE28" s="191" t="str">
        <f>IF(M28=0,"",M28*FICHA!$E$5)</f>
        <v/>
      </c>
      <c r="AF28" s="191" t="str">
        <f>IF(N28=0,"",N28*FICHA!$E$5)</f>
        <v/>
      </c>
      <c r="AG28" s="190" t="str">
        <f>IF(O28=0,"",O28*FICHA!$E$5)</f>
        <v/>
      </c>
    </row>
    <row r="29" spans="1:35">
      <c r="A29" s="185"/>
      <c r="B29" s="185"/>
      <c r="C29" s="185"/>
      <c r="D29" s="185"/>
      <c r="E29" s="185">
        <f>FICHA!B5*50%</f>
        <v>24.15</v>
      </c>
      <c r="F29" s="185"/>
      <c r="G29" s="185">
        <f>E29/2</f>
        <v>12.074999999999999</v>
      </c>
      <c r="H29" s="185">
        <f>G29</f>
        <v>12.074999999999999</v>
      </c>
      <c r="I29" s="185"/>
      <c r="J29" s="185"/>
      <c r="K29" s="185"/>
      <c r="L29" s="185"/>
      <c r="M29" s="185"/>
      <c r="N29" s="185"/>
      <c r="O29" s="185"/>
      <c r="Q29" s="34" t="s">
        <v>2</v>
      </c>
      <c r="R29" s="190"/>
      <c r="S29" s="191" t="str">
        <f>IF(A29=0,"",A29*FICHA!$E$5)</f>
        <v/>
      </c>
      <c r="T29" s="191" t="str">
        <f>IF(B29=0,"",B29*FICHA!$E$5)</f>
        <v/>
      </c>
      <c r="U29" s="191" t="str">
        <f>IF(C29=0,"",C29*FICHA!$E$5)</f>
        <v/>
      </c>
      <c r="V29" s="191" t="str">
        <f>IF(D29=0,"",D29*FICHA!$E$5)</f>
        <v/>
      </c>
      <c r="W29" s="191">
        <f>'R2-Labor'!D10/2</f>
        <v>40457.3748049633</v>
      </c>
      <c r="X29" s="191" t="str">
        <f>IF(F29=0,"",F29*FICHA!$E$5)</f>
        <v/>
      </c>
      <c r="Y29" s="191">
        <f>W29/2</f>
        <v>20228.68740248165</v>
      </c>
      <c r="Z29" s="191">
        <f>Y29</f>
        <v>20228.68740248165</v>
      </c>
      <c r="AA29" s="191" t="str">
        <f>IF(I29=0,"",I29*FICHA!$E$5)</f>
        <v/>
      </c>
      <c r="AB29" s="191" t="str">
        <f>IF(J29=0,"",J29*FICHA!$E$5)</f>
        <v/>
      </c>
      <c r="AC29" s="191" t="str">
        <f>IF(K29=0,"",K29*FICHA!$E$5)</f>
        <v/>
      </c>
      <c r="AD29" s="191" t="str">
        <f>IF(L29=0,"",L29*FICHA!$E$5)</f>
        <v/>
      </c>
      <c r="AE29" s="191" t="str">
        <f>IF(M29=0,"",M29*FICHA!$E$5)</f>
        <v/>
      </c>
      <c r="AF29" s="191" t="str">
        <f>IF(N29=0,"",N29*FICHA!$E$5)</f>
        <v/>
      </c>
      <c r="AG29" s="190" t="str">
        <f>IF(O29=0,"",O29*FICHA!$E$5)</f>
        <v/>
      </c>
    </row>
    <row r="30" spans="1:35">
      <c r="A30" s="185"/>
      <c r="B30" s="185"/>
      <c r="C30" s="185">
        <f>FICHA!B6/4</f>
        <v>11.025</v>
      </c>
      <c r="D30" s="185">
        <f>C30</f>
        <v>11.025</v>
      </c>
      <c r="E30" s="185">
        <f>D30</f>
        <v>11.025</v>
      </c>
      <c r="F30" s="185"/>
      <c r="G30" s="185"/>
      <c r="H30" s="185"/>
      <c r="I30" s="185">
        <f>E30</f>
        <v>11.025</v>
      </c>
      <c r="J30" s="185"/>
      <c r="K30" s="185"/>
      <c r="L30" s="185"/>
      <c r="M30" s="185"/>
      <c r="N30" s="185"/>
      <c r="O30" s="185"/>
      <c r="Q30" s="34" t="s">
        <v>3</v>
      </c>
      <c r="R30" s="190"/>
      <c r="S30" s="191" t="str">
        <f>IF(A30=0,"",A30*FICHA!$E$5)</f>
        <v/>
      </c>
      <c r="T30" s="191" t="str">
        <f>IF(B30=0,"",B30*FICHA!$E$5)</f>
        <v/>
      </c>
      <c r="U30" s="191">
        <f>'R2-Labor'!D11/4</f>
        <v>18469.671106613681</v>
      </c>
      <c r="V30" s="191">
        <f>U30</f>
        <v>18469.671106613681</v>
      </c>
      <c r="W30" s="191">
        <f>U30</f>
        <v>18469.671106613681</v>
      </c>
      <c r="X30" s="191" t="str">
        <f>IF(F30=0,"",F30*FICHA!$E$5)</f>
        <v/>
      </c>
      <c r="Y30" s="191" t="str">
        <f>IF(G30=0,"",G30*FICHA!$E$5)</f>
        <v/>
      </c>
      <c r="Z30" s="191" t="str">
        <f>IF(H30=0,"",H30*FICHA!$E$5)</f>
        <v/>
      </c>
      <c r="AA30" s="191">
        <f>U30</f>
        <v>18469.671106613681</v>
      </c>
      <c r="AB30" s="191" t="str">
        <f>IF(J30=0,"",J30*FICHA!$E$5)</f>
        <v/>
      </c>
      <c r="AC30" s="191" t="str">
        <f>IF(K30=0,"",K30*FICHA!$E$5)</f>
        <v/>
      </c>
      <c r="AD30" s="191" t="str">
        <f>IF(L30=0,"",L30*FICHA!$E$5)</f>
        <v/>
      </c>
      <c r="AE30" s="191" t="str">
        <f>IF(M30=0,"",M30*FICHA!$E$5)</f>
        <v/>
      </c>
      <c r="AF30" s="191" t="str">
        <f>IF(N30=0,"",N30*FICHA!$E$5)</f>
        <v/>
      </c>
      <c r="AG30" s="190" t="str">
        <f>IF(O30=0,"",O30*FICHA!$E$5)</f>
        <v/>
      </c>
    </row>
    <row r="31" spans="1:35">
      <c r="A31" s="185"/>
      <c r="B31" s="185"/>
      <c r="C31" s="185"/>
      <c r="D31" s="185">
        <f>FICHA!B7/3</f>
        <v>0</v>
      </c>
      <c r="E31" s="185">
        <f>D31</f>
        <v>0</v>
      </c>
      <c r="F31" s="185">
        <f>E31</f>
        <v>0</v>
      </c>
      <c r="G31" s="185"/>
      <c r="H31" s="185"/>
      <c r="I31" s="185"/>
      <c r="J31" s="185"/>
      <c r="K31" s="185"/>
      <c r="L31" s="185"/>
      <c r="M31" s="185"/>
      <c r="N31" s="185"/>
      <c r="O31" s="185"/>
      <c r="Q31" s="34" t="s">
        <v>83</v>
      </c>
      <c r="R31" s="190"/>
      <c r="S31" s="191" t="str">
        <f>IF(A31=0,"",A31*FICHA!$E$5)</f>
        <v/>
      </c>
      <c r="T31" s="191" t="str">
        <f>IF(B31=0,"",B31*FICHA!$E$5)</f>
        <v/>
      </c>
      <c r="U31" s="191" t="str">
        <f>IF(C31=0,"",C31*FICHA!$E$5)</f>
        <v/>
      </c>
      <c r="V31" s="191">
        <f>'R2-Labor'!D12/3</f>
        <v>0</v>
      </c>
      <c r="W31" s="191">
        <f>V31</f>
        <v>0</v>
      </c>
      <c r="X31" s="191">
        <f>V31</f>
        <v>0</v>
      </c>
      <c r="Y31" s="191" t="str">
        <f>IF(G31=0,"",G31*FICHA!$E$5)</f>
        <v/>
      </c>
      <c r="Z31" s="191" t="str">
        <f>IF(H31=0,"",H31*FICHA!$E$5)</f>
        <v/>
      </c>
      <c r="AA31" s="191" t="str">
        <f>IF(I31=0,"",I31*FICHA!$E$5)</f>
        <v/>
      </c>
      <c r="AB31" s="191" t="str">
        <f>IF(J31=0,"",J31*FICHA!$E$5)</f>
        <v/>
      </c>
      <c r="AC31" s="191" t="str">
        <f>IF(K31=0,"",K31*FICHA!$E$5)</f>
        <v/>
      </c>
      <c r="AD31" s="191" t="str">
        <f>IF(L31=0,"",L31*FICHA!$E$5)</f>
        <v/>
      </c>
      <c r="AE31" s="191" t="str">
        <f>IF(M31=0,"",M31*FICHA!$E$5)</f>
        <v/>
      </c>
      <c r="AF31" s="191" t="str">
        <f>IF(N31=0,"",N31*FICHA!$E$5)</f>
        <v/>
      </c>
      <c r="AG31" s="190" t="str">
        <f>IF(O31=0,"",O31*FICHA!$E$5)</f>
        <v/>
      </c>
    </row>
    <row r="32" spans="1:35">
      <c r="A32" s="185"/>
      <c r="B32" s="185"/>
      <c r="C32" s="185"/>
      <c r="D32" s="185">
        <f>FICHA!B8*FICHA!R3/2/2</f>
        <v>4.2166666666666668</v>
      </c>
      <c r="E32" s="185">
        <f>D32</f>
        <v>4.2166666666666668</v>
      </c>
      <c r="F32" s="185"/>
      <c r="G32" s="185">
        <f>FICHA!B8*FICHA!R3/2</f>
        <v>8.4333333333333336</v>
      </c>
      <c r="H32" s="185"/>
      <c r="I32" s="186"/>
      <c r="J32" s="185">
        <f>FICHA!B8*FICHA!R4</f>
        <v>8.4333333333333353</v>
      </c>
      <c r="K32" s="185"/>
      <c r="L32" s="185"/>
      <c r="M32" s="185"/>
      <c r="N32" s="185"/>
      <c r="O32" s="185"/>
      <c r="Q32" s="34" t="s">
        <v>84</v>
      </c>
      <c r="R32" s="190"/>
      <c r="S32" s="191" t="str">
        <f>IF(A32=0,"",A32*FICHA!$E$5)</f>
        <v/>
      </c>
      <c r="T32" s="191" t="str">
        <f>IF(B32=0,"",B32*FICHA!$E$5)</f>
        <v/>
      </c>
      <c r="U32" s="191" t="str">
        <f>IF(C32=0,"",C32*FICHA!$E$5)</f>
        <v/>
      </c>
      <c r="V32" s="191">
        <f>'R2-Labor'!D13/3/2</f>
        <v>7063.9860770570849</v>
      </c>
      <c r="W32" s="191">
        <f>V32</f>
        <v>7063.9860770570849</v>
      </c>
      <c r="X32" s="191" t="str">
        <f>IF(F32=0,"",F32*FICHA!$E$5)</f>
        <v/>
      </c>
      <c r="Y32" s="191">
        <f>SUM(V32:W32)</f>
        <v>14127.97215411417</v>
      </c>
      <c r="Z32" s="191" t="str">
        <f>IF(H32=0,"",H32*FICHA!$E$5)</f>
        <v/>
      </c>
      <c r="AA32" s="191" t="str">
        <f>IF(I32=0,"",I32*FICHA!$E$5)</f>
        <v/>
      </c>
      <c r="AB32" s="191">
        <f>Y32</f>
        <v>14127.97215411417</v>
      </c>
      <c r="AC32" s="191" t="str">
        <f>IF(K32=0,"",K32*FICHA!$E$5)</f>
        <v/>
      </c>
      <c r="AD32" s="191" t="str">
        <f>IF(L32=0,"",L32*FICHA!$E$5)</f>
        <v/>
      </c>
      <c r="AE32" s="191" t="str">
        <f>IF(M32=0,"",M32*FICHA!$E$5)</f>
        <v/>
      </c>
      <c r="AF32" s="191" t="str">
        <f>IF(N32=0,"",N32*FICHA!$E$5)</f>
        <v/>
      </c>
      <c r="AG32" s="190" t="str">
        <f>IF(O32=0,"",O32*FICHA!$E$5)</f>
        <v/>
      </c>
    </row>
    <row r="33" spans="1:37">
      <c r="A33" s="185"/>
      <c r="B33" s="185"/>
      <c r="C33" s="185">
        <f>FICHA!B9/2</f>
        <v>6.05</v>
      </c>
      <c r="D33" s="185">
        <f>C33</f>
        <v>6.05</v>
      </c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Q33" s="34" t="s">
        <v>5</v>
      </c>
      <c r="R33" s="190"/>
      <c r="S33" s="191" t="str">
        <f>IF(A33=0,"",A33*FICHA!$E$5)</f>
        <v/>
      </c>
      <c r="T33" s="191" t="str">
        <f>IF(B33=0,"",B33*FICHA!$E$5)</f>
        <v/>
      </c>
      <c r="U33" s="191">
        <f>'R2-Labor'!D14/2</f>
        <v>10135.284371429729</v>
      </c>
      <c r="V33" s="191">
        <f>U33</f>
        <v>10135.284371429729</v>
      </c>
      <c r="W33" s="191" t="str">
        <f>IF(E33=0,"",E33*FICHA!$E$5)</f>
        <v/>
      </c>
      <c r="X33" s="191" t="str">
        <f>IF(F33=0,"",F33*FICHA!$E$5)</f>
        <v/>
      </c>
      <c r="Y33" s="191" t="str">
        <f>IF(G33=0,"",G33*FICHA!$E$5)</f>
        <v/>
      </c>
      <c r="Z33" s="191" t="str">
        <f>IF(H33=0,"",H33*FICHA!$E$5)</f>
        <v/>
      </c>
      <c r="AA33" s="191" t="str">
        <f>IF(I33=0,"",I33*FICHA!$E$5)</f>
        <v/>
      </c>
      <c r="AB33" s="191" t="str">
        <f>IF(J33=0,"",J33*FICHA!$E$5)</f>
        <v/>
      </c>
      <c r="AC33" s="191" t="str">
        <f>IF(K33=0,"",K33*FICHA!$E$5)</f>
        <v/>
      </c>
      <c r="AD33" s="191" t="str">
        <f>IF(L33=0,"",L33*FICHA!$E$5)</f>
        <v/>
      </c>
      <c r="AE33" s="191" t="str">
        <f>IF(M33=0,"",M33*FICHA!$E$5)</f>
        <v/>
      </c>
      <c r="AF33" s="191" t="str">
        <f>IF(N33=0,"",N33*FICHA!$E$5)</f>
        <v/>
      </c>
      <c r="AG33" s="190" t="str">
        <f>IF(O33=0,"",O33*FICHA!$E$5)</f>
        <v/>
      </c>
    </row>
    <row r="34" spans="1:37">
      <c r="A34" s="185"/>
      <c r="B34" s="185"/>
      <c r="C34" s="185"/>
      <c r="D34" s="185">
        <f>FICHA!B10/6</f>
        <v>10.700000000000001</v>
      </c>
      <c r="E34" s="185">
        <f>D34</f>
        <v>10.700000000000001</v>
      </c>
      <c r="F34" s="185">
        <f t="shared" ref="F34:I34" si="9">E34</f>
        <v>10.700000000000001</v>
      </c>
      <c r="G34" s="185">
        <f t="shared" si="9"/>
        <v>10.700000000000001</v>
      </c>
      <c r="H34" s="185">
        <f t="shared" si="9"/>
        <v>10.700000000000001</v>
      </c>
      <c r="I34" s="185">
        <f t="shared" si="9"/>
        <v>10.700000000000001</v>
      </c>
      <c r="J34" s="185"/>
      <c r="K34" s="185"/>
      <c r="L34" s="185"/>
      <c r="M34" s="185"/>
      <c r="N34" s="185"/>
      <c r="O34" s="185"/>
      <c r="Q34" s="34" t="s">
        <v>6</v>
      </c>
      <c r="R34" s="190"/>
      <c r="S34" s="191">
        <f>'R2-Labor'!D15/10</f>
        <v>10755.128209021301</v>
      </c>
      <c r="T34" s="191">
        <f>S34</f>
        <v>10755.128209021301</v>
      </c>
      <c r="U34" s="191">
        <f t="shared" ref="U34:AB34" si="10">T34</f>
        <v>10755.128209021301</v>
      </c>
      <c r="V34" s="191">
        <f t="shared" si="10"/>
        <v>10755.128209021301</v>
      </c>
      <c r="W34" s="191">
        <f t="shared" si="10"/>
        <v>10755.128209021301</v>
      </c>
      <c r="X34" s="191">
        <f t="shared" si="10"/>
        <v>10755.128209021301</v>
      </c>
      <c r="Y34" s="191">
        <f t="shared" si="10"/>
        <v>10755.128209021301</v>
      </c>
      <c r="Z34" s="191">
        <f t="shared" si="10"/>
        <v>10755.128209021301</v>
      </c>
      <c r="AA34" s="191">
        <f t="shared" si="10"/>
        <v>10755.128209021301</v>
      </c>
      <c r="AB34" s="191">
        <f t="shared" si="10"/>
        <v>10755.128209021301</v>
      </c>
      <c r="AC34" s="191" t="str">
        <f>IF(K34=0,"",K34*FICHA!$E$5)</f>
        <v/>
      </c>
      <c r="AD34" s="191" t="str">
        <f>IF(L34=0,"",L34*FICHA!$E$5)</f>
        <v/>
      </c>
      <c r="AE34" s="191" t="str">
        <f>IF(M34=0,"",M34*FICHA!$E$5)</f>
        <v/>
      </c>
      <c r="AF34" s="191" t="str">
        <f>IF(N34=0,"",N34*FICHA!$E$5)</f>
        <v/>
      </c>
      <c r="AG34" s="190" t="str">
        <f>IF(O34=0,"",O34*FICHA!$E$5)</f>
        <v/>
      </c>
    </row>
    <row r="35" spans="1:37">
      <c r="A35" s="185"/>
      <c r="B35" s="185"/>
      <c r="C35" s="185"/>
      <c r="D35" s="185"/>
      <c r="E35" s="185">
        <f>FICHA!B11/2/3</f>
        <v>4.45</v>
      </c>
      <c r="F35" s="185">
        <f>E35</f>
        <v>4.45</v>
      </c>
      <c r="G35" s="185">
        <f>F35</f>
        <v>4.45</v>
      </c>
      <c r="H35" s="185"/>
      <c r="I35" s="185"/>
      <c r="J35" s="185"/>
      <c r="K35" s="185">
        <f>FICHA!B11/2/2</f>
        <v>6.6749999999999998</v>
      </c>
      <c r="L35" s="185">
        <f>K35</f>
        <v>6.6749999999999998</v>
      </c>
      <c r="M35" s="185"/>
      <c r="N35" s="185"/>
      <c r="O35" s="185"/>
      <c r="Q35" s="63" t="s">
        <v>380</v>
      </c>
      <c r="R35" s="190"/>
      <c r="S35" s="191" t="str">
        <f>IF(A35=0,"",A35*FICHA!$E$5)</f>
        <v/>
      </c>
      <c r="T35" s="191" t="str">
        <f>IF(B35=0,"",B35*FICHA!$E$5)</f>
        <v/>
      </c>
      <c r="U35" s="191" t="str">
        <f>IF(C35=0,"",C35*FICHA!$E$5)</f>
        <v/>
      </c>
      <c r="V35" s="191" t="str">
        <f>IF(D35=0,"",D35*FICHA!$E$5)</f>
        <v/>
      </c>
      <c r="W35" s="191">
        <f>'R2-Labor'!D16/2</f>
        <v>22364.635761749898</v>
      </c>
      <c r="X35" s="191">
        <f>W35</f>
        <v>22364.635761749898</v>
      </c>
      <c r="Y35" s="191"/>
      <c r="Z35" s="191" t="str">
        <f>IF(H35=0,"",H35*FICHA!$E$5)</f>
        <v/>
      </c>
      <c r="AA35" s="191" t="str">
        <f>IF(I35=0,"",I35*FICHA!$E$5)</f>
        <v/>
      </c>
      <c r="AB35" s="191" t="str">
        <f>IF(J35=0,"",J35*FICHA!$E$5)</f>
        <v/>
      </c>
      <c r="AC35" s="191"/>
      <c r="AD35" s="191"/>
      <c r="AE35" s="191" t="str">
        <f>IF(M35=0,"",M35*FICHA!$E$5)</f>
        <v/>
      </c>
      <c r="AF35" s="191" t="str">
        <f>IF(N35=0,"",N35*FICHA!$E$5)</f>
        <v/>
      </c>
      <c r="AG35" s="190" t="str">
        <f>IF(O35=0,"",O35*FICHA!$E$5)</f>
        <v/>
      </c>
    </row>
    <row r="36" spans="1:37">
      <c r="A36" s="185"/>
      <c r="B36" s="185"/>
      <c r="C36" s="185"/>
      <c r="D36" s="185">
        <f>FICHA!B12/2/2</f>
        <v>10.4</v>
      </c>
      <c r="E36" s="185">
        <f>D36</f>
        <v>10.4</v>
      </c>
      <c r="F36" s="185"/>
      <c r="G36" s="185">
        <f>FICHA!B12/2/4</f>
        <v>5.2</v>
      </c>
      <c r="H36" s="185">
        <f>G36</f>
        <v>5.2</v>
      </c>
      <c r="I36" s="185">
        <f t="shared" ref="I36:J36" si="11">H36</f>
        <v>5.2</v>
      </c>
      <c r="J36" s="185">
        <f t="shared" si="11"/>
        <v>5.2</v>
      </c>
      <c r="K36" s="185"/>
      <c r="L36" s="185"/>
      <c r="M36" s="185"/>
      <c r="N36" s="185"/>
      <c r="O36" s="185"/>
      <c r="Q36" s="34" t="s">
        <v>381</v>
      </c>
      <c r="R36" s="190"/>
      <c r="S36" s="191" t="str">
        <f>IF(A36=0,"",A36*FICHA!$E$5)</f>
        <v/>
      </c>
      <c r="T36" s="191" t="str">
        <f>IF(B36=0,"",B36*FICHA!$E$5)</f>
        <v/>
      </c>
      <c r="U36" s="191">
        <f>'R2-Labor'!D17/6</f>
        <v>11615.09173144564</v>
      </c>
      <c r="V36" s="191">
        <f>$U$36</f>
        <v>11615.09173144564</v>
      </c>
      <c r="W36" s="191"/>
      <c r="X36" s="191">
        <f t="shared" ref="X36:AA36" si="12">$U$36</f>
        <v>11615.09173144564</v>
      </c>
      <c r="Y36" s="191">
        <f t="shared" si="12"/>
        <v>11615.09173144564</v>
      </c>
      <c r="Z36" s="191">
        <f t="shared" si="12"/>
        <v>11615.09173144564</v>
      </c>
      <c r="AA36" s="191">
        <f t="shared" si="12"/>
        <v>11615.09173144564</v>
      </c>
      <c r="AB36" s="191"/>
      <c r="AC36" s="191" t="str">
        <f>IF(K36=0,"",K36*FICHA!$E$5)</f>
        <v/>
      </c>
      <c r="AD36" s="191" t="str">
        <f>IF(L36=0,"",L36*FICHA!$E$5)</f>
        <v/>
      </c>
      <c r="AE36" s="191" t="str">
        <f>IF(M36=0,"",M36*FICHA!$E$5)</f>
        <v/>
      </c>
      <c r="AF36" s="191" t="str">
        <f>IF(N36=0,"",N36*FICHA!$E$5)</f>
        <v/>
      </c>
      <c r="AG36" s="190" t="str">
        <f>IF(O36=0,"",O36*FICHA!$E$5)</f>
        <v/>
      </c>
    </row>
    <row r="37" spans="1:37">
      <c r="A37" s="185"/>
      <c r="B37" s="185"/>
      <c r="C37" s="185"/>
      <c r="D37" s="185">
        <f>FICHA!B13/4</f>
        <v>5.75</v>
      </c>
      <c r="E37" s="185">
        <f>D37</f>
        <v>5.75</v>
      </c>
      <c r="F37" s="185">
        <f t="shared" ref="F37:G37" si="13">E37</f>
        <v>5.75</v>
      </c>
      <c r="G37" s="185">
        <f t="shared" si="13"/>
        <v>5.75</v>
      </c>
      <c r="H37" s="185"/>
      <c r="I37" s="185"/>
      <c r="J37" s="185"/>
      <c r="K37" s="185"/>
      <c r="L37" s="185"/>
      <c r="M37" s="185"/>
      <c r="N37" s="185"/>
      <c r="O37" s="185"/>
      <c r="Q37" s="34" t="s">
        <v>9</v>
      </c>
      <c r="R37" s="190"/>
      <c r="S37" s="191" t="str">
        <f>IF(A37=0,"",A37*FICHA!$E$5)</f>
        <v/>
      </c>
      <c r="T37" s="191" t="str">
        <f>IF(B37=0,"",B37*FICHA!$E$5)</f>
        <v/>
      </c>
      <c r="U37" s="191" t="str">
        <f>IF(C37=0,"",C37*FICHA!$E$5)</f>
        <v/>
      </c>
      <c r="V37" s="191">
        <f>'R2-Labor'!D18/4</f>
        <v>9632.7082868960242</v>
      </c>
      <c r="W37" s="191">
        <f>V37</f>
        <v>9632.7082868960242</v>
      </c>
      <c r="X37" s="191">
        <f t="shared" ref="X37:Y37" si="14">W37</f>
        <v>9632.7082868960242</v>
      </c>
      <c r="Y37" s="191">
        <f t="shared" si="14"/>
        <v>9632.7082868960242</v>
      </c>
      <c r="Z37" s="191" t="str">
        <f>IF(H37=0,"",H37*FICHA!$E$5)</f>
        <v/>
      </c>
      <c r="AA37" s="191" t="str">
        <f>IF(I37=0,"",I37*FICHA!$E$5)</f>
        <v/>
      </c>
      <c r="AB37" s="191" t="str">
        <f>IF(J37=0,"",J37*FICHA!$E$5)</f>
        <v/>
      </c>
      <c r="AC37" s="191" t="str">
        <f>IF(K37=0,"",K37*FICHA!$E$5)</f>
        <v/>
      </c>
      <c r="AD37" s="191" t="str">
        <f>IF(L37=0,"",L37*FICHA!$E$5)</f>
        <v/>
      </c>
      <c r="AE37" s="191" t="str">
        <f>IF(M37=0,"",M37*FICHA!$E$5)</f>
        <v/>
      </c>
      <c r="AF37" s="191" t="str">
        <f>IF(N37=0,"",N37*FICHA!$E$5)</f>
        <v/>
      </c>
      <c r="AG37" s="190" t="str">
        <f>IF(O37=0,"",O37*FICHA!$E$5)</f>
        <v/>
      </c>
    </row>
    <row r="38" spans="1:37" ht="13.5" thickBot="1">
      <c r="A38" s="187"/>
      <c r="B38" s="187"/>
      <c r="C38" s="187">
        <f>FICHA!B14/3</f>
        <v>10.200000000000001</v>
      </c>
      <c r="D38" s="187">
        <f>C38</f>
        <v>10.200000000000001</v>
      </c>
      <c r="E38" s="187">
        <f>D38</f>
        <v>10.200000000000001</v>
      </c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Q38" s="177" t="s">
        <v>108</v>
      </c>
      <c r="R38" s="192"/>
      <c r="S38" s="193" t="str">
        <f>IF(A38=0,"",A38*FICHA!$E$5)</f>
        <v/>
      </c>
      <c r="T38" s="193" t="str">
        <f>IF(B38=0,"",B38*FICHA!$E$5)</f>
        <v/>
      </c>
      <c r="U38" s="193">
        <f>IF(C38=0,"",C38*FICHA!$E$5)</f>
        <v>17087.586874145993</v>
      </c>
      <c r="V38" s="193">
        <f>IF(D38=0,"",D38*FICHA!$E$5)</f>
        <v>17087.586874145993</v>
      </c>
      <c r="W38" s="193">
        <f>IF(E38=0,"",E38*FICHA!$E$5)</f>
        <v>17087.586874145993</v>
      </c>
      <c r="X38" s="193" t="str">
        <f>IF(F38=0,"",F38*FICHA!$E$5)</f>
        <v/>
      </c>
      <c r="Y38" s="193" t="str">
        <f>IF(G38=0,"",G38*FICHA!$E$5)</f>
        <v/>
      </c>
      <c r="Z38" s="193" t="str">
        <f>IF(H38=0,"",H38*FICHA!$E$5)</f>
        <v/>
      </c>
      <c r="AA38" s="193" t="str">
        <f>IF(I38=0,"",I38*FICHA!$E$5)</f>
        <v/>
      </c>
      <c r="AB38" s="193" t="str">
        <f>IF(J38=0,"",J38*FICHA!$E$5)</f>
        <v/>
      </c>
      <c r="AC38" s="193" t="str">
        <f>IF(K38=0,"",K38*FICHA!$E$5)</f>
        <v/>
      </c>
      <c r="AD38" s="193" t="str">
        <f>IF(L38=0,"",L38*FICHA!$E$5)</f>
        <v/>
      </c>
      <c r="AE38" s="193" t="str">
        <f>IF(M38=0,"",M38*FICHA!$E$5)</f>
        <v/>
      </c>
      <c r="AF38" s="193" t="str">
        <f>IF(N38=0,"",N38*FICHA!$E$5)</f>
        <v/>
      </c>
      <c r="AG38" s="192" t="str">
        <f>IF(O38=0,"",O38*FICHA!$E$5)</f>
        <v/>
      </c>
      <c r="AK38" s="779"/>
    </row>
    <row r="39" spans="1:37" ht="13.5" thickBot="1">
      <c r="Q39" s="189" t="s">
        <v>213</v>
      </c>
      <c r="R39" s="194">
        <f>SUM(R28:R38)</f>
        <v>0</v>
      </c>
      <c r="S39" s="195">
        <f t="shared" ref="S39:AG39" si="15">SUM(S28:S38)</f>
        <v>31444.510355658851</v>
      </c>
      <c r="T39" s="195">
        <f t="shared" si="15"/>
        <v>31444.510355658851</v>
      </c>
      <c r="U39" s="195">
        <f t="shared" si="15"/>
        <v>68062.762292656349</v>
      </c>
      <c r="V39" s="195">
        <f t="shared" si="15"/>
        <v>84759.456656609458</v>
      </c>
      <c r="W39" s="195">
        <f t="shared" si="15"/>
        <v>125831.09112044729</v>
      </c>
      <c r="X39" s="195">
        <f t="shared" si="15"/>
        <v>54367.563989112867</v>
      </c>
      <c r="Y39" s="195">
        <f t="shared" si="15"/>
        <v>66359.587783958777</v>
      </c>
      <c r="Z39" s="195">
        <f t="shared" si="15"/>
        <v>42598.907342948587</v>
      </c>
      <c r="AA39" s="195">
        <f t="shared" si="15"/>
        <v>40839.891047080622</v>
      </c>
      <c r="AB39" s="195">
        <f t="shared" si="15"/>
        <v>24883.100363135469</v>
      </c>
      <c r="AC39" s="195">
        <f t="shared" si="15"/>
        <v>0</v>
      </c>
      <c r="AD39" s="195">
        <f t="shared" si="15"/>
        <v>0</v>
      </c>
      <c r="AE39" s="195">
        <f t="shared" si="15"/>
        <v>0</v>
      </c>
      <c r="AF39" s="195">
        <f t="shared" si="15"/>
        <v>0</v>
      </c>
      <c r="AG39" s="196">
        <f t="shared" si="15"/>
        <v>0</v>
      </c>
      <c r="AI39" s="179" t="b">
        <f>SUM(R39:AG39)='R1-Estruc'!I11</f>
        <v>1</v>
      </c>
      <c r="AK39" s="779">
        <f>((207248.4479*(1+44.95%)+244167.653781333)+(368004.852455312*(5/12)))</f>
        <v>697909.63420209626</v>
      </c>
    </row>
    <row r="40" spans="1:37" ht="13.5" thickBot="1">
      <c r="AK40" s="779"/>
    </row>
    <row r="41" spans="1:37" ht="13.5" thickBot="1">
      <c r="A41" s="178" t="s">
        <v>214</v>
      </c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R41" s="197" t="str">
        <f>$R$5</f>
        <v>Cosecha 2026-2027 (abr-mar)</v>
      </c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9"/>
      <c r="AK41" s="779">
        <f>SUM(AK39:AK40)</f>
        <v>697909.63420209626</v>
      </c>
    </row>
    <row r="42" spans="1:37" ht="13.5" thickBot="1">
      <c r="A42" s="180" t="str">
        <f t="shared" ref="A42:O42" si="16">A27</f>
        <v>Feb</v>
      </c>
      <c r="B42" s="180" t="str">
        <f t="shared" si="16"/>
        <v>Mar</v>
      </c>
      <c r="C42" s="180" t="str">
        <f t="shared" si="16"/>
        <v>Abr</v>
      </c>
      <c r="D42" s="180" t="str">
        <f t="shared" si="16"/>
        <v>May</v>
      </c>
      <c r="E42" s="180" t="str">
        <f t="shared" si="16"/>
        <v>Jun</v>
      </c>
      <c r="F42" s="180" t="str">
        <f t="shared" si="16"/>
        <v>Jul</v>
      </c>
      <c r="G42" s="180" t="str">
        <f t="shared" si="16"/>
        <v>Ago</v>
      </c>
      <c r="H42" s="180" t="str">
        <f t="shared" si="16"/>
        <v>Set</v>
      </c>
      <c r="I42" s="180" t="str">
        <f t="shared" si="16"/>
        <v>Oct</v>
      </c>
      <c r="J42" s="180" t="str">
        <f t="shared" si="16"/>
        <v>Nov</v>
      </c>
      <c r="K42" s="180" t="str">
        <f t="shared" si="16"/>
        <v>Dic</v>
      </c>
      <c r="L42" s="180" t="str">
        <f t="shared" si="16"/>
        <v>Ene</v>
      </c>
      <c r="M42" s="180" t="str">
        <f t="shared" si="16"/>
        <v>Feb</v>
      </c>
      <c r="N42" s="180" t="str">
        <f t="shared" si="16"/>
        <v>Mar</v>
      </c>
      <c r="O42" s="180" t="str">
        <f t="shared" si="16"/>
        <v>Abr</v>
      </c>
      <c r="Q42" s="65" t="s">
        <v>107</v>
      </c>
      <c r="R42" s="172" t="s">
        <v>197</v>
      </c>
      <c r="S42" s="188" t="s">
        <v>198</v>
      </c>
      <c r="T42" s="188" t="s">
        <v>199</v>
      </c>
      <c r="U42" s="188" t="s">
        <v>200</v>
      </c>
      <c r="V42" s="188" t="s">
        <v>201</v>
      </c>
      <c r="W42" s="188" t="s">
        <v>202</v>
      </c>
      <c r="X42" s="188" t="s">
        <v>203</v>
      </c>
      <c r="Y42" s="188" t="s">
        <v>204</v>
      </c>
      <c r="Z42" s="188" t="s">
        <v>205</v>
      </c>
      <c r="AA42" s="188" t="s">
        <v>206</v>
      </c>
      <c r="AB42" s="188" t="s">
        <v>207</v>
      </c>
      <c r="AC42" s="188" t="s">
        <v>208</v>
      </c>
      <c r="AD42" s="188" t="s">
        <v>197</v>
      </c>
      <c r="AE42" s="188" t="s">
        <v>198</v>
      </c>
      <c r="AF42" s="188" t="s">
        <v>199</v>
      </c>
      <c r="AG42" s="66" t="s">
        <v>200</v>
      </c>
      <c r="AK42" s="779">
        <f ca="1">'R1-Estruc'!I42*(5/12)</f>
        <v>156282.18240224314</v>
      </c>
    </row>
    <row r="43" spans="1:37">
      <c r="A43" s="185">
        <v>0</v>
      </c>
      <c r="B43" s="185">
        <v>0</v>
      </c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Q43" s="34" t="s">
        <v>1</v>
      </c>
      <c r="R43" s="190"/>
      <c r="S43" s="191">
        <f>SUM('R2-Labor'!E9)/2</f>
        <v>0</v>
      </c>
      <c r="T43" s="191">
        <f>S43</f>
        <v>0</v>
      </c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0"/>
    </row>
    <row r="44" spans="1:37">
      <c r="A44" s="185"/>
      <c r="B44" s="185"/>
      <c r="C44" s="185"/>
      <c r="D44" s="185"/>
      <c r="E44" s="185">
        <v>0</v>
      </c>
      <c r="F44" s="185"/>
      <c r="G44" s="185">
        <v>0</v>
      </c>
      <c r="H44" s="185">
        <v>0</v>
      </c>
      <c r="I44" s="185"/>
      <c r="J44" s="185"/>
      <c r="K44" s="185"/>
      <c r="L44" s="185"/>
      <c r="M44" s="185"/>
      <c r="N44" s="185"/>
      <c r="O44" s="185"/>
      <c r="Q44" s="34" t="s">
        <v>2</v>
      </c>
      <c r="R44" s="190"/>
      <c r="S44" s="191"/>
      <c r="T44" s="191"/>
      <c r="U44" s="191"/>
      <c r="V44" s="191"/>
      <c r="W44" s="191">
        <f>SUM('R2-Labor'!E10)/2</f>
        <v>0</v>
      </c>
      <c r="X44" s="191"/>
      <c r="Y44" s="191">
        <f>W44/2</f>
        <v>0</v>
      </c>
      <c r="Z44" s="191">
        <f>Y44</f>
        <v>0</v>
      </c>
      <c r="AA44" s="191"/>
      <c r="AB44" s="191"/>
      <c r="AC44" s="191"/>
      <c r="AD44" s="191"/>
      <c r="AE44" s="191"/>
      <c r="AF44" s="191"/>
      <c r="AG44" s="190"/>
      <c r="AK44" s="34">
        <v>368004.85245531198</v>
      </c>
    </row>
    <row r="45" spans="1:37">
      <c r="A45" s="185"/>
      <c r="B45" s="185"/>
      <c r="C45" s="185">
        <v>0</v>
      </c>
      <c r="D45" s="185">
        <v>0</v>
      </c>
      <c r="E45" s="185">
        <v>0</v>
      </c>
      <c r="F45" s="185"/>
      <c r="G45" s="185"/>
      <c r="H45" s="185"/>
      <c r="I45" s="185">
        <v>0</v>
      </c>
      <c r="J45" s="185"/>
      <c r="K45" s="185"/>
      <c r="L45" s="185"/>
      <c r="M45" s="185"/>
      <c r="N45" s="185"/>
      <c r="O45" s="185"/>
      <c r="Q45" s="34" t="s">
        <v>3</v>
      </c>
      <c r="R45" s="190"/>
      <c r="S45" s="191"/>
      <c r="T45" s="191"/>
      <c r="U45" s="191">
        <f>SUM('R2-Labor'!E11)/4</f>
        <v>0</v>
      </c>
      <c r="V45" s="191">
        <f>U45</f>
        <v>0</v>
      </c>
      <c r="W45" s="191">
        <f>U45</f>
        <v>0</v>
      </c>
      <c r="X45" s="191"/>
      <c r="Y45" s="191"/>
      <c r="Z45" s="191"/>
      <c r="AA45" s="191">
        <f>U45</f>
        <v>0</v>
      </c>
      <c r="AB45" s="191"/>
      <c r="AC45" s="191"/>
      <c r="AD45" s="191"/>
      <c r="AE45" s="191"/>
      <c r="AF45" s="191"/>
      <c r="AG45" s="190"/>
    </row>
    <row r="46" spans="1:37">
      <c r="A46" s="185"/>
      <c r="B46" s="185"/>
      <c r="C46" s="185"/>
      <c r="D46" s="185">
        <f>ROUND(FICHA!J4*FICHA!J10/3,0)</f>
        <v>0</v>
      </c>
      <c r="E46" s="185">
        <f>D46</f>
        <v>0</v>
      </c>
      <c r="F46" s="185">
        <f>ROUND(FICHA!J4*FICHA!J10,0)-SUM(D46:E46)</f>
        <v>0</v>
      </c>
      <c r="G46" s="185"/>
      <c r="H46" s="185"/>
      <c r="I46" s="185"/>
      <c r="J46" s="185"/>
      <c r="K46" s="185"/>
      <c r="L46" s="185"/>
      <c r="M46" s="185"/>
      <c r="N46" s="185"/>
      <c r="O46" s="185"/>
      <c r="Q46" s="34" t="s">
        <v>83</v>
      </c>
      <c r="R46" s="190"/>
      <c r="S46" s="191"/>
      <c r="T46" s="191"/>
      <c r="U46" s="191"/>
      <c r="V46" s="191">
        <f>'R2-Labor'!E12/3</f>
        <v>0</v>
      </c>
      <c r="W46" s="191">
        <f>V46</f>
        <v>0</v>
      </c>
      <c r="X46" s="191">
        <f>V46</f>
        <v>0</v>
      </c>
      <c r="Y46" s="191"/>
      <c r="Z46" s="191"/>
      <c r="AA46" s="191"/>
      <c r="AB46" s="191"/>
      <c r="AC46" s="191"/>
      <c r="AD46" s="191"/>
      <c r="AE46" s="191"/>
      <c r="AF46" s="191"/>
      <c r="AG46" s="190"/>
    </row>
    <row r="47" spans="1:37">
      <c r="A47" s="185"/>
      <c r="B47" s="185"/>
      <c r="C47" s="185"/>
      <c r="D47" s="185">
        <f>FICHA!E12/2/2</f>
        <v>191.25</v>
      </c>
      <c r="E47" s="185">
        <f>D47</f>
        <v>191.25</v>
      </c>
      <c r="F47" s="185"/>
      <c r="G47" s="185">
        <f>FICHA!E12/2</f>
        <v>382.5</v>
      </c>
      <c r="H47" s="185"/>
      <c r="I47" s="186"/>
      <c r="J47" s="185">
        <f>FICHA!E13</f>
        <v>225</v>
      </c>
      <c r="K47" s="185"/>
      <c r="L47" s="185"/>
      <c r="M47" s="185"/>
      <c r="N47" s="185"/>
      <c r="O47" s="185"/>
      <c r="Q47" s="34" t="s">
        <v>84</v>
      </c>
      <c r="R47" s="190"/>
      <c r="S47" s="191"/>
      <c r="T47" s="191"/>
      <c r="U47" s="191"/>
      <c r="V47" s="191">
        <f>'R2-Labor'!E13/3/2</f>
        <v>71862.628508771901</v>
      </c>
      <c r="W47" s="191">
        <f>V47</f>
        <v>71862.628508771901</v>
      </c>
      <c r="X47" s="191"/>
      <c r="Y47" s="191">
        <f>SUM(V47:W47)</f>
        <v>143725.2570175438</v>
      </c>
      <c r="Z47" s="191"/>
      <c r="AA47" s="191"/>
      <c r="AB47" s="191">
        <f>SUM(V47:W47)</f>
        <v>143725.2570175438</v>
      </c>
      <c r="AC47" s="191"/>
      <c r="AD47" s="191"/>
      <c r="AE47" s="191"/>
      <c r="AF47" s="191"/>
      <c r="AG47" s="190"/>
    </row>
    <row r="48" spans="1:37">
      <c r="A48" s="185"/>
      <c r="B48" s="185"/>
      <c r="C48" s="185">
        <f>FICHA!E14/2</f>
        <v>450</v>
      </c>
      <c r="D48" s="185">
        <f>C48</f>
        <v>450</v>
      </c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Q48" s="34" t="s">
        <v>5</v>
      </c>
      <c r="R48" s="190"/>
      <c r="S48" s="191"/>
      <c r="T48" s="191"/>
      <c r="U48" s="191">
        <f>'R2-Labor'!E14/2</f>
        <v>36050.578613333339</v>
      </c>
      <c r="V48" s="191">
        <f>U48</f>
        <v>36050.578613333339</v>
      </c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0"/>
    </row>
    <row r="49" spans="1:35">
      <c r="A49" s="185"/>
      <c r="B49" s="185"/>
      <c r="C49" s="185"/>
      <c r="D49" s="185">
        <f>SUM(FICHA!J14,FICHA!J18)/2</f>
        <v>2.4495</v>
      </c>
      <c r="E49" s="214">
        <f>SUM(FICHA!J15:J17)/4</f>
        <v>0.81424999999999992</v>
      </c>
      <c r="F49" s="214">
        <f t="shared" ref="F49:I49" si="17">E49</f>
        <v>0.81424999999999992</v>
      </c>
      <c r="G49" s="185">
        <f>D49</f>
        <v>2.4495</v>
      </c>
      <c r="H49" s="214">
        <f>E49</f>
        <v>0.81424999999999992</v>
      </c>
      <c r="I49" s="214">
        <f t="shared" si="17"/>
        <v>0.81424999999999992</v>
      </c>
      <c r="J49" s="185"/>
      <c r="K49" s="185"/>
      <c r="L49" s="185"/>
      <c r="M49" s="185"/>
      <c r="N49" s="185"/>
      <c r="O49" s="185"/>
      <c r="Q49" s="34" t="s">
        <v>6</v>
      </c>
      <c r="R49" s="190"/>
      <c r="S49" s="191">
        <f>'R2-Labor'!E15/10</f>
        <v>18284.119220285058</v>
      </c>
      <c r="T49" s="191">
        <f>$S$49</f>
        <v>18284.119220285058</v>
      </c>
      <c r="U49" s="191">
        <f t="shared" ref="U49:AB49" si="18">$S$49</f>
        <v>18284.119220285058</v>
      </c>
      <c r="V49" s="191">
        <f t="shared" si="18"/>
        <v>18284.119220285058</v>
      </c>
      <c r="W49" s="191">
        <f t="shared" si="18"/>
        <v>18284.119220285058</v>
      </c>
      <c r="X49" s="191">
        <f t="shared" si="18"/>
        <v>18284.119220285058</v>
      </c>
      <c r="Y49" s="191">
        <f t="shared" si="18"/>
        <v>18284.119220285058</v>
      </c>
      <c r="Z49" s="191">
        <f t="shared" si="18"/>
        <v>18284.119220285058</v>
      </c>
      <c r="AA49" s="191">
        <f t="shared" si="18"/>
        <v>18284.119220285058</v>
      </c>
      <c r="AB49" s="191">
        <f t="shared" si="18"/>
        <v>18284.119220285058</v>
      </c>
      <c r="AC49" s="191"/>
      <c r="AD49" s="191"/>
      <c r="AE49" s="191"/>
      <c r="AF49" s="191"/>
      <c r="AG49" s="190"/>
    </row>
    <row r="50" spans="1:35">
      <c r="A50" s="185"/>
      <c r="B50" s="185"/>
      <c r="C50" s="185"/>
      <c r="D50" s="185"/>
      <c r="E50" s="185">
        <v>0</v>
      </c>
      <c r="F50" s="185">
        <v>0</v>
      </c>
      <c r="G50" s="185">
        <v>0</v>
      </c>
      <c r="H50" s="185"/>
      <c r="I50" s="185"/>
      <c r="J50" s="185"/>
      <c r="K50" s="185">
        <v>0</v>
      </c>
      <c r="L50" s="185">
        <v>0</v>
      </c>
      <c r="M50" s="185"/>
      <c r="N50" s="185"/>
      <c r="O50" s="185"/>
      <c r="Q50" s="34" t="s">
        <v>7</v>
      </c>
      <c r="R50" s="190"/>
      <c r="S50" s="191"/>
      <c r="T50" s="191"/>
      <c r="U50" s="191"/>
      <c r="V50" s="191"/>
      <c r="W50" s="191">
        <f>SUM('R2-Labor'!E16)/2</f>
        <v>0</v>
      </c>
      <c r="X50" s="191">
        <f>W50</f>
        <v>0</v>
      </c>
      <c r="Y50" s="191"/>
      <c r="Z50" s="191"/>
      <c r="AA50" s="191"/>
      <c r="AB50" s="191"/>
      <c r="AC50" s="191"/>
      <c r="AD50" s="191"/>
      <c r="AE50" s="191"/>
      <c r="AF50" s="191"/>
      <c r="AG50" s="190"/>
    </row>
    <row r="51" spans="1:35">
      <c r="A51" s="185"/>
      <c r="B51" s="185"/>
      <c r="C51" s="185"/>
      <c r="D51" s="185">
        <f>FICHA!J21/2/2</f>
        <v>1.5</v>
      </c>
      <c r="E51" s="185">
        <f>D51</f>
        <v>1.5</v>
      </c>
      <c r="F51" s="185"/>
      <c r="G51" s="214">
        <f>FICHA!J21/2/4</f>
        <v>0.75</v>
      </c>
      <c r="H51" s="214">
        <f>G51</f>
        <v>0.75</v>
      </c>
      <c r="I51" s="214">
        <f t="shared" ref="I51:J51" si="19">H51</f>
        <v>0.75</v>
      </c>
      <c r="J51" s="214">
        <f t="shared" si="19"/>
        <v>0.75</v>
      </c>
      <c r="K51" s="185"/>
      <c r="L51" s="185"/>
      <c r="M51" s="185"/>
      <c r="N51" s="185"/>
      <c r="O51" s="185"/>
      <c r="Q51" s="34" t="s">
        <v>8</v>
      </c>
      <c r="R51" s="190"/>
      <c r="S51" s="191"/>
      <c r="T51" s="191"/>
      <c r="U51" s="191">
        <f>'R2-Labor'!E17/6</f>
        <v>5122.9519235959797</v>
      </c>
      <c r="V51" s="191">
        <f>$U$51</f>
        <v>5122.9519235959797</v>
      </c>
      <c r="W51" s="191"/>
      <c r="X51" s="191">
        <f t="shared" ref="X51:AA51" si="20">$U$51</f>
        <v>5122.9519235959797</v>
      </c>
      <c r="Y51" s="191">
        <f t="shared" si="20"/>
        <v>5122.9519235959797</v>
      </c>
      <c r="Z51" s="191">
        <f t="shared" si="20"/>
        <v>5122.9519235959797</v>
      </c>
      <c r="AA51" s="191">
        <f t="shared" si="20"/>
        <v>5122.9519235959797</v>
      </c>
      <c r="AB51" s="191"/>
      <c r="AC51" s="191"/>
      <c r="AD51" s="191"/>
      <c r="AE51" s="191"/>
      <c r="AF51" s="191"/>
      <c r="AG51" s="190"/>
    </row>
    <row r="52" spans="1:35">
      <c r="A52" s="185"/>
      <c r="B52" s="185"/>
      <c r="C52" s="185"/>
      <c r="D52" s="185">
        <f>ROUND(FICHA!I26*FICHA!J26,0)</f>
        <v>0</v>
      </c>
      <c r="E52" s="185">
        <v>0</v>
      </c>
      <c r="F52" s="214">
        <f>ROUND(FICHA!I27*FICHA!J27,3)/2</f>
        <v>0.7</v>
      </c>
      <c r="G52" s="214">
        <f>F52</f>
        <v>0.7</v>
      </c>
      <c r="H52" s="185"/>
      <c r="I52" s="185"/>
      <c r="J52" s="185"/>
      <c r="K52" s="185"/>
      <c r="L52" s="185"/>
      <c r="M52" s="185"/>
      <c r="N52" s="185"/>
      <c r="O52" s="185"/>
      <c r="Q52" s="34" t="s">
        <v>9</v>
      </c>
      <c r="R52" s="190"/>
      <c r="S52" s="191"/>
      <c r="T52" s="191"/>
      <c r="U52" s="191"/>
      <c r="V52" s="191">
        <f>'R2-Labor'!E18/4</f>
        <v>3916.130329365079</v>
      </c>
      <c r="W52" s="191">
        <f>$V$52</f>
        <v>3916.130329365079</v>
      </c>
      <c r="X52" s="191">
        <f t="shared" ref="X52:Y52" si="21">$V$52</f>
        <v>3916.130329365079</v>
      </c>
      <c r="Y52" s="191">
        <f t="shared" si="21"/>
        <v>3916.130329365079</v>
      </c>
      <c r="Z52" s="191"/>
      <c r="AA52" s="191"/>
      <c r="AB52" s="191"/>
      <c r="AC52" s="191"/>
      <c r="AD52" s="191"/>
      <c r="AE52" s="191"/>
      <c r="AF52" s="191"/>
      <c r="AG52" s="190"/>
    </row>
    <row r="53" spans="1:35" ht="13.5" thickBot="1">
      <c r="A53" s="187"/>
      <c r="B53" s="187"/>
      <c r="C53" s="187">
        <v>0</v>
      </c>
      <c r="D53" s="187">
        <v>0</v>
      </c>
      <c r="E53" s="187">
        <v>0</v>
      </c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Q53" s="177" t="s">
        <v>108</v>
      </c>
      <c r="R53" s="192"/>
      <c r="S53" s="193"/>
      <c r="T53" s="193"/>
      <c r="U53" s="193">
        <f>SUM('R2-Labor'!E19)/3</f>
        <v>0</v>
      </c>
      <c r="V53" s="193">
        <f>$U$53</f>
        <v>0</v>
      </c>
      <c r="W53" s="193">
        <f t="shared" ref="W53" si="22">$U$53</f>
        <v>0</v>
      </c>
      <c r="X53" s="193"/>
      <c r="Y53" s="193"/>
      <c r="Z53" s="193"/>
      <c r="AA53" s="193"/>
      <c r="AB53" s="193"/>
      <c r="AC53" s="193"/>
      <c r="AD53" s="193"/>
      <c r="AE53" s="193"/>
      <c r="AF53" s="193"/>
      <c r="AG53" s="192"/>
    </row>
    <row r="54" spans="1:35" ht="13.5" thickBot="1">
      <c r="Q54" s="189" t="s">
        <v>225</v>
      </c>
      <c r="R54" s="194">
        <f>SUM(R43:R53)</f>
        <v>0</v>
      </c>
      <c r="S54" s="195">
        <f t="shared" ref="S54:AG54" si="23">SUM(S43:S53)</f>
        <v>18284.119220285058</v>
      </c>
      <c r="T54" s="195">
        <f t="shared" si="23"/>
        <v>18284.119220285058</v>
      </c>
      <c r="U54" s="195">
        <f t="shared" si="23"/>
        <v>59457.649757214378</v>
      </c>
      <c r="V54" s="195">
        <f t="shared" si="23"/>
        <v>135236.40859535136</v>
      </c>
      <c r="W54" s="195">
        <f t="shared" si="23"/>
        <v>94062.878058422037</v>
      </c>
      <c r="X54" s="195">
        <f t="shared" si="23"/>
        <v>27323.201473246118</v>
      </c>
      <c r="Y54" s="195">
        <f t="shared" si="23"/>
        <v>171048.45849078993</v>
      </c>
      <c r="Z54" s="195">
        <f t="shared" si="23"/>
        <v>23407.071143881039</v>
      </c>
      <c r="AA54" s="195">
        <f t="shared" si="23"/>
        <v>23407.071143881039</v>
      </c>
      <c r="AB54" s="195">
        <f t="shared" si="23"/>
        <v>162009.37623782887</v>
      </c>
      <c r="AC54" s="195">
        <f t="shared" si="23"/>
        <v>0</v>
      </c>
      <c r="AD54" s="195">
        <f t="shared" si="23"/>
        <v>0</v>
      </c>
      <c r="AE54" s="195">
        <f t="shared" si="23"/>
        <v>0</v>
      </c>
      <c r="AF54" s="195">
        <f t="shared" si="23"/>
        <v>0</v>
      </c>
      <c r="AG54" s="196">
        <f t="shared" si="23"/>
        <v>0</v>
      </c>
      <c r="AI54" s="179" t="b">
        <f>SUM(R54:AG54)='R1-Estruc'!I14</f>
        <v>1</v>
      </c>
    </row>
    <row r="55" spans="1:35" ht="13.5" thickBot="1"/>
    <row r="56" spans="1:35" ht="13.5" thickBot="1">
      <c r="Q56" s="189" t="s">
        <v>209</v>
      </c>
      <c r="R56" s="194">
        <f>FICHA!$J$5*FICHA!$E$9*R21</f>
        <v>0</v>
      </c>
      <c r="S56" s="195">
        <f>FICHA!$J$5*FICHA!$E$9*S21</f>
        <v>0</v>
      </c>
      <c r="T56" s="195">
        <f>FICHA!$J$5*FICHA!$E$9*T21</f>
        <v>0</v>
      </c>
      <c r="U56" s="195">
        <f>FICHA!$J$5*FICHA!$E$9*U21</f>
        <v>0</v>
      </c>
      <c r="V56" s="195">
        <f>FICHA!$J$5*FICHA!$E$9*V21</f>
        <v>0</v>
      </c>
      <c r="W56" s="195">
        <f>FICHA!$J$5*FICHA!$E$9*W21</f>
        <v>50.777364032505645</v>
      </c>
      <c r="X56" s="195">
        <f>FICHA!$J$5*FICHA!$E$9*X21</f>
        <v>628.44336833851196</v>
      </c>
      <c r="Y56" s="195">
        <f>FICHA!$J$5*FICHA!$E$9*Y21</f>
        <v>2280.884329654752</v>
      </c>
      <c r="Z56" s="195">
        <f>FICHA!$J$5*FICHA!$E$9*Z21</f>
        <v>11397.421568756976</v>
      </c>
      <c r="AA56" s="195">
        <f>FICHA!$J$5*FICHA!$E$9*AA21</f>
        <v>85774.632118510577</v>
      </c>
      <c r="AB56" s="195">
        <f>FICHA!$J$5*FICHA!$E$9*AB21</f>
        <v>237801.97465942963</v>
      </c>
      <c r="AC56" s="195">
        <f>FICHA!$J$5*FICHA!$E$9*AC21</f>
        <v>358985.42156316066</v>
      </c>
      <c r="AD56" s="195">
        <f>FICHA!$J$5*FICHA!$E$9*AD21</f>
        <v>352152.71570356883</v>
      </c>
      <c r="AE56" s="195">
        <f>FICHA!$J$5*FICHA!$E$9*AE21</f>
        <v>155832.76501168689</v>
      </c>
      <c r="AF56" s="195">
        <f>FICHA!$J$5*FICHA!$E$9*AF21</f>
        <v>62192.696237260257</v>
      </c>
      <c r="AG56" s="196">
        <f>FICHA!$J$5*FICHA!$E$9*AG21</f>
        <v>589.46807560016771</v>
      </c>
    </row>
    <row r="57" spans="1:35" ht="13.5" thickBot="1"/>
    <row r="58" spans="1:35" ht="13.5" thickBot="1">
      <c r="R58" s="197" t="str">
        <f>$R$5</f>
        <v>Cosecha 2026-2027 (abr-mar)</v>
      </c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9"/>
    </row>
    <row r="59" spans="1:35" ht="13.5" thickBot="1">
      <c r="Q59" s="65" t="s">
        <v>215</v>
      </c>
      <c r="R59" s="172" t="s">
        <v>197</v>
      </c>
      <c r="S59" s="188" t="s">
        <v>198</v>
      </c>
      <c r="T59" s="188" t="s">
        <v>199</v>
      </c>
      <c r="U59" s="188" t="s">
        <v>200</v>
      </c>
      <c r="V59" s="188" t="s">
        <v>201</v>
      </c>
      <c r="W59" s="188" t="s">
        <v>202</v>
      </c>
      <c r="X59" s="188" t="s">
        <v>203</v>
      </c>
      <c r="Y59" s="188" t="s">
        <v>204</v>
      </c>
      <c r="Z59" s="188" t="s">
        <v>205</v>
      </c>
      <c r="AA59" s="188" t="s">
        <v>206</v>
      </c>
      <c r="AB59" s="188" t="s">
        <v>207</v>
      </c>
      <c r="AC59" s="188" t="s">
        <v>208</v>
      </c>
      <c r="AD59" s="188" t="s">
        <v>197</v>
      </c>
      <c r="AE59" s="188" t="s">
        <v>198</v>
      </c>
      <c r="AF59" s="188" t="s">
        <v>199</v>
      </c>
      <c r="AG59" s="66" t="s">
        <v>200</v>
      </c>
    </row>
    <row r="60" spans="1:35">
      <c r="Q60" s="200" t="s">
        <v>216</v>
      </c>
      <c r="R60" s="201">
        <v>0</v>
      </c>
      <c r="S60" s="202">
        <f>SUM(A47:A48)*FICHA!$E$17</f>
        <v>0</v>
      </c>
      <c r="T60" s="202">
        <f>SUM(B47:B48)*FICHA!$E$17</f>
        <v>0</v>
      </c>
      <c r="U60" s="202">
        <f>SUM(C47:C48)*FICHA!$E$17</f>
        <v>6640.7850000000008</v>
      </c>
      <c r="V60" s="202">
        <f>SUM(D47:D48)*FICHA!$E$17</f>
        <v>9463.118625000001</v>
      </c>
      <c r="W60" s="202">
        <f>SUM(E47:E48)*FICHA!$E$17</f>
        <v>2822.3336250000002</v>
      </c>
      <c r="X60" s="202">
        <f>SUM(F47:F48)*FICHA!$E$17</f>
        <v>0</v>
      </c>
      <c r="Y60" s="202">
        <f>SUM(G47:G48)*FICHA!$E$17</f>
        <v>5644.6672500000004</v>
      </c>
      <c r="Z60" s="202">
        <f>SUM(H47:H48)*FICHA!$E$17</f>
        <v>0</v>
      </c>
      <c r="AA60" s="202">
        <f>SUM(I47:I48)*FICHA!$E$17</f>
        <v>0</v>
      </c>
      <c r="AB60" s="202">
        <f>SUM(J47:J48)*FICHA!$E$17</f>
        <v>3320.3925000000004</v>
      </c>
      <c r="AC60" s="202">
        <f>SUM(K47:K48)*FICHA!$E$17</f>
        <v>0</v>
      </c>
      <c r="AD60" s="202">
        <f>SUM(L47:L48)*FICHA!$E$17</f>
        <v>0</v>
      </c>
      <c r="AE60" s="202">
        <f>SUM(M47:M48)*FICHA!$E$17</f>
        <v>0</v>
      </c>
      <c r="AF60" s="202">
        <f>SUM(N47:N48)*FICHA!$E$17</f>
        <v>0</v>
      </c>
      <c r="AG60" s="203">
        <f>SUM(O47:O48)*FICHA!$E$17</f>
        <v>0</v>
      </c>
    </row>
    <row r="61" spans="1:35">
      <c r="Q61" s="204" t="s">
        <v>217</v>
      </c>
      <c r="R61" s="190"/>
      <c r="S61" s="191"/>
      <c r="T61" s="191"/>
      <c r="U61" s="191"/>
      <c r="V61" s="191">
        <f>D46*FICHA!$E$18</f>
        <v>0</v>
      </c>
      <c r="W61" s="191">
        <f>E46*FICHA!$E$18</f>
        <v>0</v>
      </c>
      <c r="X61" s="191">
        <f>F46*FICHA!$E$18</f>
        <v>0</v>
      </c>
      <c r="Y61" s="191"/>
      <c r="Z61" s="191"/>
      <c r="AA61" s="191"/>
      <c r="AB61" s="191"/>
      <c r="AC61" s="191"/>
      <c r="AD61" s="191"/>
      <c r="AE61" s="191"/>
      <c r="AF61" s="191"/>
      <c r="AG61" s="205"/>
    </row>
    <row r="62" spans="1:35" ht="13.5" thickBot="1">
      <c r="Q62" s="206" t="s">
        <v>218</v>
      </c>
      <c r="R62" s="192">
        <f>FICHA!$J$5*FICHA!$E$19*R21</f>
        <v>0</v>
      </c>
      <c r="S62" s="193">
        <f>FICHA!$J$5*FICHA!$E$19*S21</f>
        <v>0</v>
      </c>
      <c r="T62" s="193">
        <f>FICHA!$J$5*FICHA!$E$19*T21</f>
        <v>0</v>
      </c>
      <c r="U62" s="193">
        <f>FICHA!$J$5*FICHA!$E$19*U21</f>
        <v>0</v>
      </c>
      <c r="V62" s="193">
        <f>FICHA!$J$5*FICHA!$E$19*V21</f>
        <v>0</v>
      </c>
      <c r="W62" s="193">
        <f>FICHA!$J$5*FICHA!$E$19*W21</f>
        <v>2.7972548140673346</v>
      </c>
      <c r="X62" s="193">
        <f>FICHA!$J$5*FICHA!$E$19*X21</f>
        <v>34.620076700481064</v>
      </c>
      <c r="Y62" s="193">
        <f>FICHA!$J$5*FICHA!$E$19*Y21</f>
        <v>125.65076571074351</v>
      </c>
      <c r="Z62" s="193">
        <f>FICHA!$J$5*FICHA!$E$19*Z21</f>
        <v>627.86820384671933</v>
      </c>
      <c r="AA62" s="193">
        <f>FICHA!$J$5*FICHA!$E$19*AA21</f>
        <v>4725.2059493431452</v>
      </c>
      <c r="AB62" s="193">
        <f>FICHA!$J$5*FICHA!$E$19*AB21</f>
        <v>13100.182159613052</v>
      </c>
      <c r="AC62" s="193">
        <f>FICHA!$J$5*FICHA!$E$19*AC21</f>
        <v>19776.010783165326</v>
      </c>
      <c r="AD62" s="193">
        <f>FICHA!$J$5*FICHA!$E$19*AD21</f>
        <v>19399.606459644041</v>
      </c>
      <c r="AE62" s="193">
        <f>FICHA!$J$5*FICHA!$E$19*AE21</f>
        <v>8584.6116753779606</v>
      </c>
      <c r="AF62" s="193">
        <f>FICHA!$J$5*FICHA!$E$19*AF21</f>
        <v>3426.1096901000174</v>
      </c>
      <c r="AG62" s="207">
        <f>FICHA!$J$5*FICHA!$E$19*AG21</f>
        <v>32.472981684437606</v>
      </c>
    </row>
    <row r="63" spans="1:35" ht="13.5" thickBot="1"/>
    <row r="64" spans="1:35" ht="13.5" thickBot="1">
      <c r="R64" s="197" t="str">
        <f>$R$5</f>
        <v>Cosecha 2026-2027 (abr-mar)</v>
      </c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9"/>
    </row>
    <row r="65" spans="15:37" ht="13.5" thickBot="1">
      <c r="Q65" s="65" t="s">
        <v>219</v>
      </c>
      <c r="R65" s="172" t="s">
        <v>197</v>
      </c>
      <c r="S65" s="188" t="s">
        <v>198</v>
      </c>
      <c r="T65" s="188" t="s">
        <v>199</v>
      </c>
      <c r="U65" s="188" t="s">
        <v>200</v>
      </c>
      <c r="V65" s="188" t="s">
        <v>201</v>
      </c>
      <c r="W65" s="188" t="s">
        <v>202</v>
      </c>
      <c r="X65" s="188" t="s">
        <v>203</v>
      </c>
      <c r="Y65" s="188" t="s">
        <v>204</v>
      </c>
      <c r="Z65" s="188" t="s">
        <v>205</v>
      </c>
      <c r="AA65" s="188" t="s">
        <v>206</v>
      </c>
      <c r="AB65" s="188" t="s">
        <v>207</v>
      </c>
      <c r="AC65" s="188" t="s">
        <v>208</v>
      </c>
      <c r="AD65" s="188" t="s">
        <v>197</v>
      </c>
      <c r="AE65" s="188" t="s">
        <v>198</v>
      </c>
      <c r="AF65" s="188" t="s">
        <v>199</v>
      </c>
      <c r="AG65" s="66" t="s">
        <v>200</v>
      </c>
    </row>
    <row r="66" spans="15:37">
      <c r="Q66" s="34" t="s">
        <v>215</v>
      </c>
      <c r="R66" s="190">
        <f>SUM(R60:R62)</f>
        <v>0</v>
      </c>
      <c r="S66" s="191">
        <f t="shared" ref="S66:AG66" si="24">SUM(S60:S62)</f>
        <v>0</v>
      </c>
      <c r="T66" s="191">
        <f t="shared" si="24"/>
        <v>0</v>
      </c>
      <c r="U66" s="191">
        <f t="shared" si="24"/>
        <v>6640.7850000000008</v>
      </c>
      <c r="V66" s="191">
        <f t="shared" si="24"/>
        <v>9463.118625000001</v>
      </c>
      <c r="W66" s="191">
        <f t="shared" si="24"/>
        <v>2825.1308798140676</v>
      </c>
      <c r="X66" s="191">
        <f t="shared" si="24"/>
        <v>34.620076700481064</v>
      </c>
      <c r="Y66" s="191">
        <f t="shared" si="24"/>
        <v>5770.3180157107436</v>
      </c>
      <c r="Z66" s="191">
        <f t="shared" si="24"/>
        <v>627.86820384671933</v>
      </c>
      <c r="AA66" s="191">
        <f t="shared" si="24"/>
        <v>4725.2059493431452</v>
      </c>
      <c r="AB66" s="191">
        <f t="shared" si="24"/>
        <v>16420.574659613052</v>
      </c>
      <c r="AC66" s="191">
        <f t="shared" si="24"/>
        <v>19776.010783165326</v>
      </c>
      <c r="AD66" s="191">
        <f t="shared" si="24"/>
        <v>19399.606459644041</v>
      </c>
      <c r="AE66" s="191">
        <f t="shared" si="24"/>
        <v>8584.6116753779606</v>
      </c>
      <c r="AF66" s="191">
        <f t="shared" si="24"/>
        <v>3426.1096901000174</v>
      </c>
      <c r="AG66" s="190">
        <f t="shared" si="24"/>
        <v>32.472981684437606</v>
      </c>
      <c r="AI66" s="179" t="b">
        <f>SUM(R66:AG66)='R1-Estruc'!I35</f>
        <v>1</v>
      </c>
    </row>
    <row r="67" spans="15:37">
      <c r="Q67" s="34" t="s">
        <v>220</v>
      </c>
      <c r="R67" s="190">
        <f>R23*'R1-Estruc'!$I$43</f>
        <v>0</v>
      </c>
      <c r="S67" s="191">
        <f>S23*'R1-Estruc'!$I$43</f>
        <v>0</v>
      </c>
      <c r="T67" s="191">
        <f>T23*'R1-Estruc'!$I$43</f>
        <v>13304.065076404477</v>
      </c>
      <c r="U67" s="191">
        <f>U23*'R1-Estruc'!$I$43</f>
        <v>24872.937723080471</v>
      </c>
      <c r="V67" s="191">
        <f>V23*'R1-Estruc'!$I$43</f>
        <v>52539.538454222638</v>
      </c>
      <c r="W67" s="191">
        <f>W23*'R1-Estruc'!$I$43</f>
        <v>50025.210771568898</v>
      </c>
      <c r="X67" s="191">
        <f>X23*'R1-Estruc'!$I$43</f>
        <v>8354.0534222186761</v>
      </c>
      <c r="Y67" s="191">
        <f>Y23*'R1-Estruc'!$I$43</f>
        <v>10231.172594840909</v>
      </c>
      <c r="Z67" s="191">
        <f>Z23*'R1-Estruc'!$I$43</f>
        <v>12766.659809545201</v>
      </c>
      <c r="AA67" s="191">
        <f>AA23*'R1-Estruc'!$I$43</f>
        <v>3577.3445882174547</v>
      </c>
      <c r="AB67" s="191">
        <f>AB23*'R1-Estruc'!$I$43</f>
        <v>7660.8091666081409</v>
      </c>
      <c r="AC67" s="191">
        <f>AC23*'R1-Estruc'!$I$43</f>
        <v>3563.313388176578</v>
      </c>
      <c r="AD67" s="191">
        <f>AD23*'R1-Estruc'!$I$43</f>
        <v>2760.910441081196</v>
      </c>
      <c r="AE67" s="191">
        <f>AE23*'R1-Estruc'!$I$43</f>
        <v>1223.1050640353653</v>
      </c>
      <c r="AF67" s="191">
        <f>AF23*'R1-Estruc'!$I$43</f>
        <v>0</v>
      </c>
      <c r="AG67" s="190">
        <f>AG23*'R1-Estruc'!$I$43</f>
        <v>0</v>
      </c>
      <c r="AI67" s="179" t="b">
        <f>SUM(R67:AG67)='R1-Estruc'!I43</f>
        <v>1</v>
      </c>
    </row>
    <row r="68" spans="15:37">
      <c r="Q68" s="34" t="s">
        <v>222</v>
      </c>
      <c r="R68" s="190"/>
      <c r="S68" s="191"/>
      <c r="T68" s="191"/>
      <c r="U68" s="191">
        <f ca="1">'R1-Estruc'!$I$44/12</f>
        <v>2235.9244197507073</v>
      </c>
      <c r="V68" s="191">
        <f ca="1">U68</f>
        <v>2235.9244197507073</v>
      </c>
      <c r="W68" s="191">
        <f t="shared" ref="W68:AF68" ca="1" si="25">V68</f>
        <v>2235.9244197507073</v>
      </c>
      <c r="X68" s="191">
        <f t="shared" ca="1" si="25"/>
        <v>2235.9244197507073</v>
      </c>
      <c r="Y68" s="191">
        <f t="shared" ca="1" si="25"/>
        <v>2235.9244197507073</v>
      </c>
      <c r="Z68" s="191">
        <f t="shared" ca="1" si="25"/>
        <v>2235.9244197507073</v>
      </c>
      <c r="AA68" s="191">
        <f t="shared" ca="1" si="25"/>
        <v>2235.9244197507073</v>
      </c>
      <c r="AB68" s="191">
        <f t="shared" ca="1" si="25"/>
        <v>2235.9244197507073</v>
      </c>
      <c r="AC68" s="191">
        <f t="shared" ca="1" si="25"/>
        <v>2235.9244197507073</v>
      </c>
      <c r="AD68" s="191">
        <f t="shared" ca="1" si="25"/>
        <v>2235.9244197507073</v>
      </c>
      <c r="AE68" s="191">
        <f t="shared" ca="1" si="25"/>
        <v>2235.9244197507073</v>
      </c>
      <c r="AF68" s="191">
        <f t="shared" ca="1" si="25"/>
        <v>2235.9244197507073</v>
      </c>
      <c r="AG68" s="190"/>
      <c r="AI68" s="179" t="b">
        <f ca="1">SUM(R68:AG68)='R1-Estruc'!I44</f>
        <v>1</v>
      </c>
    </row>
    <row r="69" spans="15:37">
      <c r="Q69" s="34" t="s">
        <v>221</v>
      </c>
      <c r="R69" s="190"/>
      <c r="S69" s="191"/>
      <c r="T69" s="191"/>
      <c r="U69" s="191">
        <f ca="1">'R1-Estruc'!$I$47/6</f>
        <v>17478.767371395832</v>
      </c>
      <c r="V69" s="191">
        <f ca="1">U69</f>
        <v>17478.767371395832</v>
      </c>
      <c r="W69" s="191">
        <f t="shared" ref="W69:Z69" ca="1" si="26">V69</f>
        <v>17478.767371395832</v>
      </c>
      <c r="X69" s="191">
        <f t="shared" ca="1" si="26"/>
        <v>17478.767371395832</v>
      </c>
      <c r="Y69" s="191">
        <f t="shared" ca="1" si="26"/>
        <v>17478.767371395832</v>
      </c>
      <c r="Z69" s="191">
        <f t="shared" ca="1" si="26"/>
        <v>17478.767371395832</v>
      </c>
      <c r="AA69" s="191"/>
      <c r="AB69" s="191"/>
      <c r="AC69" s="191"/>
      <c r="AD69" s="191"/>
      <c r="AE69" s="191"/>
      <c r="AF69" s="191"/>
      <c r="AG69" s="190"/>
      <c r="AI69" s="179" t="b">
        <f ca="1">SUM(R69:AG69)='R1-Estruc'!I47</f>
        <v>1</v>
      </c>
    </row>
    <row r="70" spans="15:37" ht="13.5" thickBot="1">
      <c r="Q70" s="34" t="s">
        <v>224</v>
      </c>
      <c r="R70" s="190"/>
      <c r="S70" s="191"/>
      <c r="T70" s="191"/>
      <c r="U70" s="191"/>
      <c r="V70" s="191">
        <f>SUM(FICHA!$J$31:$J$32)*Cronograma!V21</f>
        <v>0</v>
      </c>
      <c r="W70" s="771">
        <f>SUM(FICHA!$J$31:$J$32)*Cronograma!W21+(FICHA!$J$30/4)</f>
        <v>6721.2234570457949</v>
      </c>
      <c r="X70" s="191">
        <f>SUM(FICHA!$J$31:$J$32)*Cronograma!X21</f>
        <v>12.697703276152319</v>
      </c>
      <c r="Y70" s="191">
        <f>SUM(FICHA!$J$31:$J$32)*Cronograma!Y21</f>
        <v>46.08528609626638</v>
      </c>
      <c r="Z70" s="771">
        <f>SUM(FICHA!$J$31:$J$32)*Cronograma!Z21+(FICHA!$J$30/4)</f>
        <v>6950.4824938187912</v>
      </c>
      <c r="AA70" s="191">
        <f>SUM(FICHA!$J$31:$J$32)*Cronograma!AA21</f>
        <v>1733.0771269676354</v>
      </c>
      <c r="AB70" s="191">
        <f>SUM(FICHA!$J$31:$J$32)*Cronograma!AB21</f>
        <v>4804.7907971272462</v>
      </c>
      <c r="AC70" s="771">
        <f>SUM(FICHA!$J$31:$J$32)*Cronograma!AC21+(FICHA!$J$30/4)</f>
        <v>13973.50080961204</v>
      </c>
      <c r="AD70" s="191">
        <f>SUM(FICHA!$J$31:$J$32)*Cronograma!AD21</f>
        <v>7115.2484331516498</v>
      </c>
      <c r="AE70" s="191">
        <f>SUM(FICHA!$J$31:$J$32)*Cronograma!AE21</f>
        <v>3148.6022615723296</v>
      </c>
      <c r="AF70" s="771">
        <f>SUM(FICHA!$J$31:$J$32)*Cronograma!AF21+(FICHA!$J$30/4)</f>
        <v>7976.8014241569817</v>
      </c>
      <c r="AG70" s="190">
        <f>SUM(FICHA!$J$31:$J$32)*Cronograma!AG21</f>
        <v>11.910207175109701</v>
      </c>
      <c r="AI70" s="179" t="b">
        <f>SUM(R70:AG70)='R1-Estruc'!I52</f>
        <v>1</v>
      </c>
    </row>
    <row r="71" spans="15:37" ht="13.5" thickBot="1">
      <c r="Q71" s="189" t="s">
        <v>223</v>
      </c>
      <c r="R71" s="194">
        <f>SUM(R66:R70)</f>
        <v>0</v>
      </c>
      <c r="S71" s="195">
        <f t="shared" ref="S71:AG71" si="27">SUM(S66:S70)</f>
        <v>0</v>
      </c>
      <c r="T71" s="195">
        <f t="shared" si="27"/>
        <v>13304.065076404477</v>
      </c>
      <c r="U71" s="195">
        <f t="shared" ca="1" si="27"/>
        <v>51228.414514227014</v>
      </c>
      <c r="V71" s="195">
        <f t="shared" ca="1" si="27"/>
        <v>81717.348870369184</v>
      </c>
      <c r="W71" s="195">
        <f t="shared" ca="1" si="27"/>
        <v>79286.256899575295</v>
      </c>
      <c r="X71" s="195">
        <f t="shared" ca="1" si="27"/>
        <v>28116.06299334185</v>
      </c>
      <c r="Y71" s="195">
        <f t="shared" ca="1" si="27"/>
        <v>35762.267687794461</v>
      </c>
      <c r="Z71" s="195">
        <f t="shared" ca="1" si="27"/>
        <v>40059.702298357246</v>
      </c>
      <c r="AA71" s="195">
        <f t="shared" ca="1" si="27"/>
        <v>12271.552084278943</v>
      </c>
      <c r="AB71" s="195">
        <f t="shared" ca="1" si="27"/>
        <v>31122.099043099148</v>
      </c>
      <c r="AC71" s="195">
        <f t="shared" ca="1" si="27"/>
        <v>39548.749400704648</v>
      </c>
      <c r="AD71" s="195">
        <f t="shared" ca="1" si="27"/>
        <v>31511.689753627594</v>
      </c>
      <c r="AE71" s="195">
        <f t="shared" ca="1" si="27"/>
        <v>15192.243420736362</v>
      </c>
      <c r="AF71" s="195">
        <f t="shared" ca="1" si="27"/>
        <v>13638.835534007707</v>
      </c>
      <c r="AG71" s="196">
        <f t="shared" si="27"/>
        <v>44.383188859547303</v>
      </c>
    </row>
    <row r="72" spans="15:37" ht="13.5" thickBot="1"/>
    <row r="73" spans="15:37" ht="13.5" thickBot="1">
      <c r="Q73" s="208" t="s">
        <v>226</v>
      </c>
      <c r="R73" s="209">
        <f t="shared" ref="R73:AG73" si="28">SUM(R39,R54,R56,R71)</f>
        <v>0</v>
      </c>
      <c r="S73" s="210">
        <f t="shared" si="28"/>
        <v>49728.629575943909</v>
      </c>
      <c r="T73" s="210">
        <f t="shared" si="28"/>
        <v>63032.694652348386</v>
      </c>
      <c r="U73" s="210">
        <f t="shared" ca="1" si="28"/>
        <v>178748.82656409775</v>
      </c>
      <c r="V73" s="210">
        <f t="shared" ca="1" si="28"/>
        <v>301713.21412233001</v>
      </c>
      <c r="W73" s="210">
        <f t="shared" ca="1" si="28"/>
        <v>299231.00344247714</v>
      </c>
      <c r="X73" s="210">
        <f t="shared" ca="1" si="28"/>
        <v>110435.27182403934</v>
      </c>
      <c r="Y73" s="210">
        <f t="shared" ca="1" si="28"/>
        <v>275451.19829219789</v>
      </c>
      <c r="Z73" s="210">
        <f t="shared" ca="1" si="28"/>
        <v>117463.10235394386</v>
      </c>
      <c r="AA73" s="210">
        <f t="shared" ca="1" si="28"/>
        <v>162293.1463937512</v>
      </c>
      <c r="AB73" s="210">
        <f t="shared" ca="1" si="28"/>
        <v>455816.5503034931</v>
      </c>
      <c r="AC73" s="210">
        <f t="shared" ca="1" si="28"/>
        <v>398534.1709638653</v>
      </c>
      <c r="AD73" s="210">
        <f t="shared" ca="1" si="28"/>
        <v>383664.40545719641</v>
      </c>
      <c r="AE73" s="210">
        <f t="shared" ca="1" si="28"/>
        <v>171025.00843242326</v>
      </c>
      <c r="AF73" s="210">
        <f t="shared" ca="1" si="28"/>
        <v>75831.531771267968</v>
      </c>
      <c r="AG73" s="211">
        <f t="shared" si="28"/>
        <v>633.85126445971503</v>
      </c>
      <c r="AI73" s="213">
        <f ca="1">'R1-Estruc'!I54-'R1-Estruc'!I12</f>
        <v>3043602.6054138355</v>
      </c>
      <c r="AK73" s="339"/>
    </row>
    <row r="74" spans="15:37" ht="13.5" thickBot="1">
      <c r="O74" s="222"/>
      <c r="P74" s="223" t="s">
        <v>232</v>
      </c>
      <c r="Q74" s="63" t="s">
        <v>228</v>
      </c>
      <c r="R74" s="257">
        <f>TC!D27</f>
        <v>505.62032258064511</v>
      </c>
      <c r="S74" s="258">
        <f>TC!E27</f>
        <v>506.9232142857141</v>
      </c>
      <c r="T74" s="258">
        <f>TC!F27</f>
        <v>501.14129032258057</v>
      </c>
      <c r="U74" s="258">
        <f>TC!G27</f>
        <v>505.09783333333331</v>
      </c>
      <c r="V74" s="258">
        <f>TC!H27</f>
        <v>506.21645161290314</v>
      </c>
      <c r="W74" s="258">
        <f>TC!I27</f>
        <v>505.73649999999998</v>
      </c>
      <c r="X74" s="258">
        <f>TC!J27</f>
        <v>504.49983870967742</v>
      </c>
      <c r="Y74" s="258">
        <f>TC!K27</f>
        <v>504.69064516129043</v>
      </c>
      <c r="Z74" s="258">
        <f>TC!L27</f>
        <v>504.53466666666657</v>
      </c>
      <c r="AA74" s="258">
        <f>TC!M27</f>
        <v>503.09403225806471</v>
      </c>
      <c r="AB74" s="258">
        <f>TC!N27</f>
        <v>499.608</v>
      </c>
      <c r="AC74" s="258">
        <f>TC!O27</f>
        <v>494.79919354838711</v>
      </c>
      <c r="AD74" s="258">
        <f>TC!Q27</f>
        <v>495.13500000000005</v>
      </c>
      <c r="AE74" s="258">
        <f>TC!R27</f>
        <v>484.16964285714283</v>
      </c>
      <c r="AF74" s="258">
        <f>TC!S27</f>
        <v>469.22822580645152</v>
      </c>
      <c r="AG74" s="171">
        <f>TC!T27</f>
        <v>459.41650000000004</v>
      </c>
      <c r="AI74" s="212">
        <f ca="1">SUM(R73:AG73)/SUM(R75:AG75)</f>
        <v>499.40729499685261</v>
      </c>
    </row>
    <row r="75" spans="15:37" ht="13.5" thickBot="1">
      <c r="Q75" s="208" t="s">
        <v>227</v>
      </c>
      <c r="R75" s="209">
        <f>R73/R74</f>
        <v>0</v>
      </c>
      <c r="S75" s="210">
        <f t="shared" ref="S75:AG75" si="29">S73/S74</f>
        <v>98.098939197358717</v>
      </c>
      <c r="T75" s="210">
        <f t="shared" si="29"/>
        <v>125.77829021387312</v>
      </c>
      <c r="U75" s="210">
        <f t="shared" ca="1" si="29"/>
        <v>353.8895136105931</v>
      </c>
      <c r="V75" s="210">
        <f t="shared" ca="1" si="29"/>
        <v>596.01621630631246</v>
      </c>
      <c r="W75" s="210">
        <f t="shared" ca="1" si="29"/>
        <v>591.67373413324356</v>
      </c>
      <c r="X75" s="210">
        <f t="shared" ca="1" si="29"/>
        <v>218.90050967407961</v>
      </c>
      <c r="Y75" s="210">
        <f t="shared" ca="1" si="29"/>
        <v>545.78225479921161</v>
      </c>
      <c r="Z75" s="210">
        <f t="shared" ca="1" si="29"/>
        <v>232.81473031376217</v>
      </c>
      <c r="AA75" s="210">
        <f t="shared" ca="1" si="29"/>
        <v>322.59008453215381</v>
      </c>
      <c r="AB75" s="210">
        <f t="shared" ca="1" si="29"/>
        <v>912.34838173826904</v>
      </c>
      <c r="AC75" s="210">
        <f t="shared" ca="1" si="29"/>
        <v>805.44628237129916</v>
      </c>
      <c r="AD75" s="210">
        <f t="shared" ca="1" si="29"/>
        <v>774.86827927170646</v>
      </c>
      <c r="AE75" s="210">
        <f t="shared" ca="1" si="29"/>
        <v>353.23364642025939</v>
      </c>
      <c r="AF75" s="210">
        <f t="shared" ca="1" si="29"/>
        <v>161.60905845111535</v>
      </c>
      <c r="AG75" s="211">
        <f t="shared" si="29"/>
        <v>1.3796876352062126</v>
      </c>
    </row>
    <row r="81" spans="18:29"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</row>
    <row r="87" spans="18:29" ht="13.5">
      <c r="R87" s="215"/>
    </row>
    <row r="88" spans="18:29" ht="13.5">
      <c r="R88" s="215"/>
    </row>
    <row r="89" spans="18:29" ht="13.5">
      <c r="R89" s="215"/>
    </row>
    <row r="90" spans="18:29" ht="13.5">
      <c r="R90" s="215"/>
    </row>
    <row r="91" spans="18:29" ht="13.5">
      <c r="R91" s="215"/>
    </row>
    <row r="92" spans="18:29" ht="13.5">
      <c r="R92" s="215"/>
    </row>
    <row r="93" spans="18:29" ht="13.5">
      <c r="R93" s="215"/>
    </row>
    <row r="94" spans="18:29" ht="13.5">
      <c r="R94" s="215"/>
    </row>
    <row r="95" spans="18:29" ht="13.5">
      <c r="R95" s="215"/>
    </row>
    <row r="96" spans="18:29" ht="13.5">
      <c r="R96" s="215"/>
    </row>
    <row r="97" spans="18:18" ht="13.5">
      <c r="R97" s="215"/>
    </row>
    <row r="98" spans="18:18" ht="13.5">
      <c r="R98" s="215"/>
    </row>
    <row r="99" spans="18:18" ht="13.5">
      <c r="R99" s="215"/>
    </row>
    <row r="100" spans="18:18" ht="13.5">
      <c r="R100" s="215"/>
    </row>
    <row r="101" spans="18:18" ht="13.5">
      <c r="R101" s="215"/>
    </row>
  </sheetData>
  <sheetProtection algorithmName="SHA-512" hashValue="nIOchuHnNr9ioIStJbPZrnM3sbEB8GChtujGb9Hq2i9fhvPh/9JahHQVo6ct0sWltVEJvV0HXKle9OcjtquAVQ==" saltValue="p3U0wJ57Mt10hAKrSw58Cg==" spinCount="100000" sheet="1" objects="1" scenarios="1"/>
  <conditionalFormatting sqref="A28:O38">
    <cfRule type="cellIs" dxfId="3" priority="2" operator="equal">
      <formula>0</formula>
    </cfRule>
  </conditionalFormatting>
  <conditionalFormatting sqref="A43:O53">
    <cfRule type="cellIs" dxfId="2" priority="1" operator="equal">
      <formula>0</formula>
    </cfRule>
  </conditionalFormatting>
  <conditionalFormatting sqref="R7:AF19">
    <cfRule type="cellIs" dxfId="1" priority="3" operator="equal">
      <formula>1</formula>
    </cfRule>
  </conditionalFormatting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1B1F6-CA5C-4FF6-B878-B8C2BD1A2F52}">
  <dimension ref="A2:P61"/>
  <sheetViews>
    <sheetView workbookViewId="0">
      <selection activeCell="L49" sqref="L49"/>
    </sheetView>
  </sheetViews>
  <sheetFormatPr baseColWidth="10" defaultColWidth="10.7109375" defaultRowHeight="12.75"/>
  <cols>
    <col min="2" max="2" width="24" bestFit="1" customWidth="1"/>
    <col min="3" max="3" width="3" customWidth="1"/>
    <col min="4" max="4" width="10.140625" bestFit="1" customWidth="1"/>
    <col min="5" max="5" width="3" customWidth="1"/>
    <col min="6" max="6" width="12.140625" customWidth="1"/>
    <col min="12" max="12" width="12.7109375" bestFit="1" customWidth="1"/>
  </cols>
  <sheetData>
    <row r="2" spans="1:16">
      <c r="F2" s="660">
        <v>37</v>
      </c>
      <c r="G2" s="660">
        <v>42</v>
      </c>
      <c r="H2" s="660">
        <v>49</v>
      </c>
      <c r="I2" s="660">
        <v>56</v>
      </c>
      <c r="J2" s="660">
        <v>62</v>
      </c>
      <c r="K2" s="669"/>
      <c r="L2" s="660">
        <f>F2</f>
        <v>37</v>
      </c>
      <c r="M2" s="660">
        <f t="shared" ref="M2:P2" si="0">G2</f>
        <v>42</v>
      </c>
      <c r="N2" s="660">
        <f t="shared" si="0"/>
        <v>49</v>
      </c>
      <c r="O2" s="660">
        <f t="shared" si="0"/>
        <v>56</v>
      </c>
      <c r="P2" s="660">
        <f t="shared" si="0"/>
        <v>62</v>
      </c>
    </row>
    <row r="3" spans="1:16">
      <c r="D3" s="95" t="s">
        <v>122</v>
      </c>
    </row>
    <row r="4" spans="1:16">
      <c r="B4" t="s">
        <v>1</v>
      </c>
      <c r="D4" s="1">
        <f>FICHA!$E$5</f>
        <v>1675.253615112352</v>
      </c>
      <c r="F4" s="660">
        <f>ROUND(AVERAGE('BASE (MO)'!$E$12:$F$12),1)</f>
        <v>24.7</v>
      </c>
      <c r="G4" s="660">
        <f>ROUND(AVERAGE('BASE (MO)'!$E$12:$F$12),1)</f>
        <v>24.7</v>
      </c>
      <c r="H4" s="660">
        <f>ROUND(AVERAGE('BASE (MO)'!$E$12:$F$12),1)</f>
        <v>24.7</v>
      </c>
      <c r="I4" s="660">
        <f>ROUND(AVERAGE('BASE (MO)'!$E$12:$F$12),1)</f>
        <v>24.7</v>
      </c>
      <c r="J4" s="660">
        <f>ROUND(AVERAGE('BASE (MO)'!$E$12:$F$12),1)</f>
        <v>24.7</v>
      </c>
      <c r="L4" s="663">
        <f>F4*$D4</f>
        <v>41378.764293275097</v>
      </c>
      <c r="M4" s="663">
        <f t="shared" ref="M4:P4" si="1">G4*$D4</f>
        <v>41378.764293275097</v>
      </c>
      <c r="N4" s="663">
        <f t="shared" si="1"/>
        <v>41378.764293275097</v>
      </c>
      <c r="O4" s="663">
        <f t="shared" si="1"/>
        <v>41378.764293275097</v>
      </c>
      <c r="P4" s="663">
        <f t="shared" si="1"/>
        <v>41378.764293275097</v>
      </c>
    </row>
    <row r="5" spans="1:16">
      <c r="B5" t="s">
        <v>2</v>
      </c>
      <c r="D5" s="1">
        <f>FICHA!$E$5</f>
        <v>1675.253615112352</v>
      </c>
      <c r="F5" s="660">
        <f>ROUND('BASE (MO)'!$L$11,1)</f>
        <v>48.3</v>
      </c>
      <c r="G5" s="660">
        <f>ROUND('BASE (MO)'!$L$11,1)</f>
        <v>48.3</v>
      </c>
      <c r="H5" s="660">
        <f>ROUND('BASE (MO)'!$L$11,1)</f>
        <v>48.3</v>
      </c>
      <c r="I5" s="660">
        <f>ROUND('BASE (MO)'!$L$11,1)</f>
        <v>48.3</v>
      </c>
      <c r="J5" s="660">
        <f>ROUND('BASE (MO)'!$L$11,1)</f>
        <v>48.3</v>
      </c>
      <c r="L5" s="663">
        <f t="shared" ref="L5:L14" si="2">F5*$D5</f>
        <v>80914.749609926599</v>
      </c>
      <c r="M5" s="663">
        <f t="shared" ref="M5:M14" si="3">G5*$D5</f>
        <v>80914.749609926599</v>
      </c>
      <c r="N5" s="663">
        <f t="shared" ref="N5:N14" si="4">H5*$D5</f>
        <v>80914.749609926599</v>
      </c>
      <c r="O5" s="663">
        <f t="shared" ref="O5:O14" si="5">I5*$D5</f>
        <v>80914.749609926599</v>
      </c>
      <c r="P5" s="663">
        <f t="shared" ref="P5:P14" si="6">J5*$D5</f>
        <v>80914.749609926599</v>
      </c>
    </row>
    <row r="6" spans="1:16">
      <c r="B6" t="s">
        <v>3</v>
      </c>
      <c r="D6" s="1">
        <f>FICHA!$E$5</f>
        <v>1675.253615112352</v>
      </c>
      <c r="F6" s="15">
        <f>IF(TECNICO!$G$4=2,0,ROUND('BASE (MO)'!$U$11,1))</f>
        <v>44.1</v>
      </c>
      <c r="G6" s="15">
        <f>IF(TECNICO!$G$4=2,0,ROUND('BASE (MO)'!$U$11,1))</f>
        <v>44.1</v>
      </c>
      <c r="H6" s="15">
        <f>IF(TECNICO!$G$4=2,0,ROUND('BASE (MO)'!$U$11,1))</f>
        <v>44.1</v>
      </c>
      <c r="I6" s="15">
        <f>IF(TECNICO!$G$4=2,0,ROUND('BASE (MO)'!$U$11,1))</f>
        <v>44.1</v>
      </c>
      <c r="J6" s="15">
        <f>IF(TECNICO!$G$4=2,0,ROUND('BASE (MO)'!$U$11,1))</f>
        <v>44.1</v>
      </c>
      <c r="L6" s="663">
        <f t="shared" si="2"/>
        <v>73878.684426454725</v>
      </c>
      <c r="M6" s="663">
        <f t="shared" si="3"/>
        <v>73878.684426454725</v>
      </c>
      <c r="N6" s="663">
        <f t="shared" si="4"/>
        <v>73878.684426454725</v>
      </c>
      <c r="O6" s="663">
        <f t="shared" si="5"/>
        <v>73878.684426454725</v>
      </c>
      <c r="P6" s="663">
        <f t="shared" si="6"/>
        <v>73878.684426454725</v>
      </c>
    </row>
    <row r="7" spans="1:16">
      <c r="B7" t="s">
        <v>83</v>
      </c>
      <c r="D7" s="1">
        <f>FICHA!$E$5</f>
        <v>1675.253615112352</v>
      </c>
      <c r="F7" s="15">
        <f>ROUND(6*(FICHA!$J$4*FICHA!$J$10)/(60),1)</f>
        <v>0</v>
      </c>
      <c r="G7" s="15">
        <f>ROUND(6*(FICHA!$J$4*FICHA!$J$10)/(60),1)</f>
        <v>0</v>
      </c>
      <c r="H7" s="15">
        <f>ROUND(6*(FICHA!$J$4*FICHA!$J$10)/(60),1)</f>
        <v>0</v>
      </c>
      <c r="I7" s="15">
        <f>ROUND(6*(FICHA!$J$4*FICHA!$J$10)/(60),1)</f>
        <v>0</v>
      </c>
      <c r="J7" s="15">
        <f>ROUND(6*(FICHA!$J$4*FICHA!$J$10)/(60),1)</f>
        <v>0</v>
      </c>
      <c r="L7" s="663">
        <f t="shared" si="2"/>
        <v>0</v>
      </c>
      <c r="M7" s="663">
        <f t="shared" si="3"/>
        <v>0</v>
      </c>
      <c r="N7" s="663">
        <f t="shared" si="4"/>
        <v>0</v>
      </c>
      <c r="O7" s="663">
        <f t="shared" si="5"/>
        <v>0</v>
      </c>
      <c r="P7" s="663">
        <f t="shared" si="6"/>
        <v>0</v>
      </c>
    </row>
    <row r="8" spans="1:16">
      <c r="B8" t="s">
        <v>84</v>
      </c>
      <c r="D8" s="1">
        <f>FICHA!$E$5</f>
        <v>1675.253615112352</v>
      </c>
      <c r="F8" s="660">
        <f>ROUND(TECNICO!$Q$5+TECNICO!$Q$6*LN(SUM(Hoja1!F20:F21)*45),1)</f>
        <v>24.8</v>
      </c>
      <c r="G8" s="660">
        <f>ROUND(TECNICO!$Q$5+TECNICO!$Q$6*LN(SUM(Hoja1!G20:G21)*45),1)</f>
        <v>25.5</v>
      </c>
      <c r="H8" s="660">
        <f>ROUND(TECNICO!$Q$5+TECNICO!$Q$6*LN(SUM(Hoja1!H20:H21)*45),1)</f>
        <v>26.7</v>
      </c>
      <c r="I8" s="660">
        <f>ROUND(TECNICO!$Q$5+TECNICO!$Q$6*LN(SUM(Hoja1!I20:I21)*45),1)</f>
        <v>27.5</v>
      </c>
      <c r="J8" s="660">
        <f>ROUND(TECNICO!$Q$5+TECNICO!$Q$6*LN(SUM(Hoja1!J20:J21)*45),1)</f>
        <v>28.2</v>
      </c>
      <c r="L8" s="663">
        <f t="shared" si="2"/>
        <v>41546.289654786327</v>
      </c>
      <c r="M8" s="663">
        <f t="shared" si="3"/>
        <v>42718.967185364978</v>
      </c>
      <c r="N8" s="663">
        <f t="shared" si="4"/>
        <v>44729.271523499796</v>
      </c>
      <c r="O8" s="663">
        <f t="shared" si="5"/>
        <v>46069.474415589677</v>
      </c>
      <c r="P8" s="663">
        <f t="shared" si="6"/>
        <v>47242.151946168327</v>
      </c>
    </row>
    <row r="9" spans="1:16">
      <c r="B9" t="s">
        <v>5</v>
      </c>
      <c r="D9" s="1">
        <f>FICHA!$E$5</f>
        <v>1675.253615112352</v>
      </c>
      <c r="F9" s="660">
        <f>ROUND(0.1734*POWER(FICHA!$E$14,0.6245),1)</f>
        <v>12.1</v>
      </c>
      <c r="G9" s="660">
        <f>ROUND(0.1734*POWER(FICHA!$E$14,0.6245),1)</f>
        <v>12.1</v>
      </c>
      <c r="H9" s="660">
        <f>ROUND(0.1734*POWER(FICHA!$E$14,0.6245),1)</f>
        <v>12.1</v>
      </c>
      <c r="I9" s="660">
        <f>ROUND(0.1734*POWER(FICHA!$E$14,0.6245),1)</f>
        <v>12.1</v>
      </c>
      <c r="J9" s="660">
        <f>ROUND(0.1734*POWER(FICHA!$E$14,0.6245),1)</f>
        <v>12.1</v>
      </c>
      <c r="L9" s="663">
        <f t="shared" si="2"/>
        <v>20270.568742859457</v>
      </c>
      <c r="M9" s="663">
        <f t="shared" si="3"/>
        <v>20270.568742859457</v>
      </c>
      <c r="N9" s="663">
        <f t="shared" si="4"/>
        <v>20270.568742859457</v>
      </c>
      <c r="O9" s="663">
        <f t="shared" si="5"/>
        <v>20270.568742859457</v>
      </c>
      <c r="P9" s="663">
        <f t="shared" si="6"/>
        <v>20270.568742859457</v>
      </c>
    </row>
    <row r="10" spans="1:16">
      <c r="B10" t="s">
        <v>6</v>
      </c>
      <c r="D10" s="1">
        <f>FICHA!$E$5</f>
        <v>1675.253615112352</v>
      </c>
      <c r="F10" s="660">
        <f>ROUND(ATOM!$D$5*POWER((ATOM!$C$9*ATOM!$D$9/200),ATOM!$D$6),1)</f>
        <v>64.2</v>
      </c>
      <c r="G10" s="660">
        <f>ROUND(ATOM!$D$5*POWER((ATOM!$C$9*ATOM!$D$9/200),ATOM!$D$6),1)</f>
        <v>64.2</v>
      </c>
      <c r="H10" s="660">
        <f>ROUND(ATOM!$D$5*POWER((ATOM!$C$9*ATOM!$D$9/200),ATOM!$D$6),1)</f>
        <v>64.2</v>
      </c>
      <c r="I10" s="660">
        <f>ROUND(ATOM!$D$5*POWER((ATOM!$C$9*ATOM!$D$9/200),ATOM!$D$6),1)</f>
        <v>64.2</v>
      </c>
      <c r="J10" s="660">
        <f>ROUND(ATOM!$D$5*POWER((ATOM!$C$9*ATOM!$D$9/200),ATOM!$D$6),1)</f>
        <v>64.2</v>
      </c>
      <c r="L10" s="663">
        <f t="shared" si="2"/>
        <v>107551.282090213</v>
      </c>
      <c r="M10" s="663">
        <f t="shared" si="3"/>
        <v>107551.282090213</v>
      </c>
      <c r="N10" s="663">
        <f t="shared" si="4"/>
        <v>107551.282090213</v>
      </c>
      <c r="O10" s="663">
        <f t="shared" si="5"/>
        <v>107551.282090213</v>
      </c>
      <c r="P10" s="663">
        <f t="shared" si="6"/>
        <v>107551.282090213</v>
      </c>
    </row>
    <row r="11" spans="1:16">
      <c r="B11" t="s">
        <v>7</v>
      </c>
      <c r="D11" s="1">
        <f>FICHA!$E$5</f>
        <v>1675.253615112352</v>
      </c>
      <c r="F11" s="660">
        <f>ROUND('BASE (MO)'!$Y$11,1)</f>
        <v>26.7</v>
      </c>
      <c r="G11" s="660">
        <f>ROUND('BASE (MO)'!$Y$11,1)</f>
        <v>26.7</v>
      </c>
      <c r="H11" s="660">
        <f>ROUND('BASE (MO)'!$Y$11,1)</f>
        <v>26.7</v>
      </c>
      <c r="I11" s="660">
        <f>ROUND('BASE (MO)'!$Y$11,1)</f>
        <v>26.7</v>
      </c>
      <c r="J11" s="660">
        <f>ROUND('BASE (MO)'!$Y$11,1)</f>
        <v>26.7</v>
      </c>
      <c r="L11" s="663">
        <f t="shared" si="2"/>
        <v>44729.271523499796</v>
      </c>
      <c r="M11" s="663">
        <f t="shared" si="3"/>
        <v>44729.271523499796</v>
      </c>
      <c r="N11" s="663">
        <f t="shared" si="4"/>
        <v>44729.271523499796</v>
      </c>
      <c r="O11" s="663">
        <f t="shared" si="5"/>
        <v>44729.271523499796</v>
      </c>
      <c r="P11" s="663">
        <f t="shared" si="6"/>
        <v>44729.271523499796</v>
      </c>
    </row>
    <row r="12" spans="1:16">
      <c r="B12" t="s">
        <v>8</v>
      </c>
      <c r="D12" s="1">
        <f>FICHA!$E$5</f>
        <v>1675.253615112352</v>
      </c>
      <c r="F12" s="660">
        <f>ROUND('BASE (MO)'!$AG$5+'BASE (MO)'!$AG$6*('BASE (MO)'!$AF$10*'BASE (MO)'!$AG$10/200)+'BASE (MO)'!$AG$7*POWER(('BASE (MO)'!$AF$10*'BASE (MO)'!$AG$10/200),2),1)</f>
        <v>41.6</v>
      </c>
      <c r="G12" s="660">
        <f>ROUND('BASE (MO)'!$AG$5+'BASE (MO)'!$AG$6*('BASE (MO)'!$AF$10*'BASE (MO)'!$AG$10/200)+'BASE (MO)'!$AG$7*POWER(('BASE (MO)'!$AF$10*'BASE (MO)'!$AG$10/200),2),1)</f>
        <v>41.6</v>
      </c>
      <c r="H12" s="660">
        <f>ROUND('BASE (MO)'!$AG$5+'BASE (MO)'!$AG$6*('BASE (MO)'!$AF$10*'BASE (MO)'!$AG$10/200)+'BASE (MO)'!$AG$7*POWER(('BASE (MO)'!$AF$10*'BASE (MO)'!$AG$10/200),2),1)</f>
        <v>41.6</v>
      </c>
      <c r="I12" s="660">
        <f>ROUND('BASE (MO)'!$AG$5+'BASE (MO)'!$AG$6*('BASE (MO)'!$AF$10*'BASE (MO)'!$AG$10/200)+'BASE (MO)'!$AG$7*POWER(('BASE (MO)'!$AF$10*'BASE (MO)'!$AG$10/200),2),1)</f>
        <v>41.6</v>
      </c>
      <c r="J12" s="660">
        <f>ROUND('BASE (MO)'!$AG$5+'BASE (MO)'!$AG$6*('BASE (MO)'!$AF$10*'BASE (MO)'!$AG$10/200)+'BASE (MO)'!$AG$7*POWER(('BASE (MO)'!$AF$10*'BASE (MO)'!$AG$10/200),2),1)</f>
        <v>41.6</v>
      </c>
      <c r="L12" s="663">
        <f t="shared" si="2"/>
        <v>69690.550388673844</v>
      </c>
      <c r="M12" s="663">
        <f t="shared" si="3"/>
        <v>69690.550388673844</v>
      </c>
      <c r="N12" s="663">
        <f t="shared" si="4"/>
        <v>69690.550388673844</v>
      </c>
      <c r="O12" s="663">
        <f t="shared" si="5"/>
        <v>69690.550388673844</v>
      </c>
      <c r="P12" s="663">
        <f t="shared" si="6"/>
        <v>69690.550388673844</v>
      </c>
    </row>
    <row r="13" spans="1:16">
      <c r="B13" t="s">
        <v>9</v>
      </c>
      <c r="D13" s="1">
        <f>FICHA!$E$5</f>
        <v>1675.253615112352</v>
      </c>
      <c r="F13" s="660">
        <f>ROUND(ATOM!$D$5*POWER((AVERAGE(500,700)/200),ATOM!$D$6),1)</f>
        <v>23</v>
      </c>
      <c r="G13" s="660">
        <f>ROUND(ATOM!$D$5*POWER((AVERAGE(500,700)/200),ATOM!$D$6),1)</f>
        <v>23</v>
      </c>
      <c r="H13" s="660">
        <f>ROUND(ATOM!$D$5*POWER((AVERAGE(500,700)/200),ATOM!$D$6),1)</f>
        <v>23</v>
      </c>
      <c r="I13" s="660">
        <f>ROUND(ATOM!$D$5*POWER((AVERAGE(500,700)/200),ATOM!$D$6),1)</f>
        <v>23</v>
      </c>
      <c r="J13" s="660">
        <f>ROUND(ATOM!$D$5*POWER((AVERAGE(500,700)/200),ATOM!$D$6),1)</f>
        <v>23</v>
      </c>
      <c r="L13" s="663">
        <f t="shared" si="2"/>
        <v>38530.833147584097</v>
      </c>
      <c r="M13" s="663">
        <f t="shared" si="3"/>
        <v>38530.833147584097</v>
      </c>
      <c r="N13" s="663">
        <f t="shared" si="4"/>
        <v>38530.833147584097</v>
      </c>
      <c r="O13" s="663">
        <f t="shared" si="5"/>
        <v>38530.833147584097</v>
      </c>
      <c r="P13" s="663">
        <f t="shared" si="6"/>
        <v>38530.833147584097</v>
      </c>
    </row>
    <row r="14" spans="1:16">
      <c r="B14" t="s">
        <v>108</v>
      </c>
      <c r="D14" s="1">
        <f>FICHA!$E$5</f>
        <v>1675.253615112352</v>
      </c>
      <c r="F14" s="15">
        <f>ROUND(2*(2.417153662468)*FICHA!$E$7,1)</f>
        <v>30.6</v>
      </c>
      <c r="G14" s="15">
        <f>ROUND(2*(2.417153662468)*FICHA!$E$7,1)</f>
        <v>30.6</v>
      </c>
      <c r="H14" s="15">
        <f>ROUND(2*(2.417153662468)*FICHA!$E$7,1)</f>
        <v>30.6</v>
      </c>
      <c r="I14" s="15">
        <f>ROUND(2*(2.417153662468)*FICHA!$E$7,1)</f>
        <v>30.6</v>
      </c>
      <c r="J14" s="15">
        <f>ROUND(2*(2.417153662468)*FICHA!$E$7,1)</f>
        <v>30.6</v>
      </c>
      <c r="L14" s="663">
        <f t="shared" si="2"/>
        <v>51262.760622437971</v>
      </c>
      <c r="M14" s="663">
        <f t="shared" si="3"/>
        <v>51262.760622437971</v>
      </c>
      <c r="N14" s="663">
        <f t="shared" si="4"/>
        <v>51262.760622437971</v>
      </c>
      <c r="O14" s="663">
        <f t="shared" si="5"/>
        <v>51262.760622437971</v>
      </c>
      <c r="P14" s="663">
        <f t="shared" si="6"/>
        <v>51262.760622437971</v>
      </c>
    </row>
    <row r="15" spans="1:16">
      <c r="B15" s="665" t="s">
        <v>526</v>
      </c>
      <c r="F15" s="666">
        <f>SUM(F4:F14)</f>
        <v>340.1</v>
      </c>
      <c r="G15" s="667">
        <f t="shared" ref="G15:J15" si="7">SUM(G4:G14)</f>
        <v>340.8</v>
      </c>
      <c r="H15" s="667">
        <f t="shared" si="7"/>
        <v>342</v>
      </c>
      <c r="I15" s="667">
        <f t="shared" si="7"/>
        <v>342.8</v>
      </c>
      <c r="J15" s="668">
        <f t="shared" si="7"/>
        <v>343.5</v>
      </c>
      <c r="L15" s="523">
        <f>SUM(L4:L14)</f>
        <v>569753.75449971098</v>
      </c>
      <c r="M15" s="523">
        <f t="shared" ref="M15:P15" si="8">SUM(M4:M14)</f>
        <v>570926.43203028955</v>
      </c>
      <c r="N15" s="523">
        <f t="shared" si="8"/>
        <v>572936.73636842438</v>
      </c>
      <c r="O15" s="523">
        <f t="shared" si="8"/>
        <v>574276.93926051422</v>
      </c>
      <c r="P15" s="523">
        <f t="shared" si="8"/>
        <v>575449.61679109291</v>
      </c>
    </row>
    <row r="16" spans="1:16">
      <c r="A16" s="15">
        <v>1</v>
      </c>
      <c r="B16" s="665" t="s">
        <v>396</v>
      </c>
      <c r="D16" s="664">
        <f>IF(A16=1,UNIT!AD8,UNIT!AD9)</f>
        <v>0.4506</v>
      </c>
      <c r="L16" s="523">
        <f>L15*$D16</f>
        <v>256731.04177756977</v>
      </c>
      <c r="M16" s="523">
        <f t="shared" ref="M16:P16" si="9">M15*$D16</f>
        <v>257259.45027284848</v>
      </c>
      <c r="N16" s="523">
        <f t="shared" si="9"/>
        <v>258165.29340761201</v>
      </c>
      <c r="O16" s="523">
        <f t="shared" si="9"/>
        <v>258769.18883078769</v>
      </c>
      <c r="P16" s="523">
        <f t="shared" si="9"/>
        <v>259297.59732606646</v>
      </c>
    </row>
    <row r="17" spans="2:16">
      <c r="B17" s="665" t="s">
        <v>527</v>
      </c>
      <c r="D17" s="664"/>
      <c r="L17" s="523">
        <f>SUM(L15:L16)</f>
        <v>826484.79627728078</v>
      </c>
      <c r="M17" s="523">
        <f t="shared" ref="M17:P17" si="10">SUM(M15:M16)</f>
        <v>828185.88230313803</v>
      </c>
      <c r="N17" s="523">
        <f t="shared" si="10"/>
        <v>831102.02977603639</v>
      </c>
      <c r="O17" s="523">
        <f t="shared" si="10"/>
        <v>833046.12809130189</v>
      </c>
      <c r="P17" s="523">
        <f t="shared" si="10"/>
        <v>834747.21411715937</v>
      </c>
    </row>
    <row r="19" spans="2:16">
      <c r="B19" t="s">
        <v>106</v>
      </c>
      <c r="D19" s="1">
        <f>FICHA!J11</f>
        <v>302.78305889332972</v>
      </c>
      <c r="F19" s="662">
        <f>FICHA!$J$4*FICHA!$J$10</f>
        <v>0</v>
      </c>
      <c r="G19" s="662">
        <f>FICHA!$J$4*FICHA!$J$10</f>
        <v>0</v>
      </c>
      <c r="H19" s="662">
        <f>FICHA!$J$4*FICHA!$J$10</f>
        <v>0</v>
      </c>
      <c r="I19" s="662">
        <f>FICHA!$J$4*FICHA!$J$10</f>
        <v>0</v>
      </c>
      <c r="J19" s="662">
        <f>FICHA!$J$4*FICHA!$J$10</f>
        <v>0</v>
      </c>
      <c r="L19" s="663">
        <f t="shared" ref="L19:L32" si="11">F19*$D19</f>
        <v>0</v>
      </c>
      <c r="M19" s="663">
        <f t="shared" ref="M19:P25" si="12">G19*$D19</f>
        <v>0</v>
      </c>
      <c r="N19" s="663">
        <f t="shared" si="12"/>
        <v>0</v>
      </c>
      <c r="O19" s="663">
        <f t="shared" si="12"/>
        <v>0</v>
      </c>
      <c r="P19" s="663">
        <f t="shared" si="12"/>
        <v>0</v>
      </c>
    </row>
    <row r="20" spans="2:16">
      <c r="B20" t="s">
        <v>12</v>
      </c>
      <c r="D20" s="1">
        <f>TECNICO!N18</f>
        <v>19760.339473684202</v>
      </c>
      <c r="F20" s="660">
        <f>2*MROUND(ROUNDUP(IF((90+3*(F2))&gt;350,350,90+3*(F2))/3/18%/45,1),0.5)</f>
        <v>17</v>
      </c>
      <c r="G20" s="660">
        <f t="shared" ref="G20:J20" si="13">2*MROUND(ROUNDUP(IF((90+3*(G2))&gt;350,350,90+3*(G2))/3/18%/45,1),0.5)</f>
        <v>18</v>
      </c>
      <c r="H20" s="660">
        <f t="shared" si="13"/>
        <v>20</v>
      </c>
      <c r="I20" s="660">
        <f t="shared" si="13"/>
        <v>21</v>
      </c>
      <c r="J20" s="660">
        <f t="shared" si="13"/>
        <v>23</v>
      </c>
      <c r="L20" s="663">
        <f t="shared" si="11"/>
        <v>335925.77105263143</v>
      </c>
      <c r="M20" s="663">
        <f t="shared" si="12"/>
        <v>355686.11052631564</v>
      </c>
      <c r="N20" s="663">
        <f t="shared" si="12"/>
        <v>395206.78947368404</v>
      </c>
      <c r="O20" s="663">
        <f t="shared" si="12"/>
        <v>414967.12894736824</v>
      </c>
      <c r="P20" s="663">
        <f t="shared" si="12"/>
        <v>454487.80789473664</v>
      </c>
    </row>
    <row r="21" spans="2:16">
      <c r="B21" t="s">
        <v>13</v>
      </c>
      <c r="D21" s="1">
        <f>TECNICO!N26</f>
        <v>19050</v>
      </c>
      <c r="F21" s="660">
        <f>MROUND(ROUNDUP((IF((90+3*(F2))&gt;350,350,90+3*(F2))-F20*45*18%)/33.5%/45,1),0.5)</f>
        <v>4</v>
      </c>
      <c r="G21" s="660">
        <f t="shared" ref="G21:J21" si="14">MROUND(ROUNDUP((IF((90+3*(G2))&gt;350,350,90+3*(G2))-G20*45*18%)/33.5%/45,1),0.5)</f>
        <v>4.5</v>
      </c>
      <c r="H21" s="660">
        <f t="shared" si="14"/>
        <v>5</v>
      </c>
      <c r="I21" s="660">
        <f t="shared" si="14"/>
        <v>6</v>
      </c>
      <c r="J21" s="660">
        <f t="shared" si="14"/>
        <v>6</v>
      </c>
      <c r="L21" s="663">
        <f t="shared" si="11"/>
        <v>76200</v>
      </c>
      <c r="M21" s="663">
        <f t="shared" si="12"/>
        <v>85725</v>
      </c>
      <c r="N21" s="663">
        <f t="shared" si="12"/>
        <v>95250</v>
      </c>
      <c r="O21" s="663">
        <f t="shared" si="12"/>
        <v>114300</v>
      </c>
      <c r="P21" s="663">
        <f t="shared" si="12"/>
        <v>114300</v>
      </c>
    </row>
    <row r="22" spans="2:16">
      <c r="B22" t="s">
        <v>164</v>
      </c>
      <c r="D22" s="1">
        <f>UNIT!AD35</f>
        <v>3786.15</v>
      </c>
      <c r="F22" s="660">
        <f>FICHA!$E$14/45</f>
        <v>20</v>
      </c>
      <c r="G22" s="660">
        <f>FICHA!$E$14/45</f>
        <v>20</v>
      </c>
      <c r="H22" s="660">
        <f>FICHA!$E$14/45</f>
        <v>20</v>
      </c>
      <c r="I22" s="660">
        <f>FICHA!$E$14/45</f>
        <v>20</v>
      </c>
      <c r="J22" s="660">
        <f>FICHA!$E$14/45</f>
        <v>20</v>
      </c>
      <c r="L22" s="663">
        <f t="shared" si="11"/>
        <v>75723</v>
      </c>
      <c r="M22" s="663">
        <f t="shared" si="12"/>
        <v>75723</v>
      </c>
      <c r="N22" s="663">
        <f t="shared" si="12"/>
        <v>75723</v>
      </c>
      <c r="O22" s="663">
        <f t="shared" si="12"/>
        <v>75723</v>
      </c>
      <c r="P22" s="663">
        <f t="shared" si="12"/>
        <v>75723</v>
      </c>
    </row>
    <row r="23" spans="2:16">
      <c r="B23" t="s">
        <v>22</v>
      </c>
      <c r="D23" s="1">
        <f>IF(SUM(ATOM!$F$13,ATOM!$F$15,ATOM!$F$19)=0,0,SUM(ATOM!$H$13,ATOM!$H$15,ATOM!$H$19)/SUM(ATOM!$F$13,ATOM!$F$15,ATOM!$F$19))</f>
        <v>28896.997614690212</v>
      </c>
      <c r="F23" s="661">
        <f>ROUND(SUM(ATOM!$F$13,ATOM!$F$15,ATOM!$F$19),3)</f>
        <v>2.286</v>
      </c>
      <c r="G23" s="661">
        <f>ROUND(SUM(ATOM!$F$13,ATOM!$F$15,ATOM!$F$19),3)</f>
        <v>2.286</v>
      </c>
      <c r="H23" s="661">
        <f>ROUND(SUM(ATOM!$F$13,ATOM!$F$15,ATOM!$F$19),3)</f>
        <v>2.286</v>
      </c>
      <c r="I23" s="661">
        <f>ROUND(SUM(ATOM!$F$13,ATOM!$F$15,ATOM!$F$19),3)</f>
        <v>2.286</v>
      </c>
      <c r="J23" s="661">
        <f>ROUND(SUM(ATOM!$F$13,ATOM!$F$15,ATOM!$F$19),3)</f>
        <v>2.286</v>
      </c>
      <c r="L23" s="663">
        <f t="shared" si="11"/>
        <v>66058.536547181822</v>
      </c>
      <c r="M23" s="663">
        <f t="shared" si="12"/>
        <v>66058.536547181822</v>
      </c>
      <c r="N23" s="663">
        <f t="shared" si="12"/>
        <v>66058.536547181822</v>
      </c>
      <c r="O23" s="663">
        <f t="shared" si="12"/>
        <v>66058.536547181822</v>
      </c>
      <c r="P23" s="663">
        <f t="shared" si="12"/>
        <v>66058.536547181822</v>
      </c>
    </row>
    <row r="24" spans="2:16">
      <c r="B24" t="s">
        <v>274</v>
      </c>
      <c r="D24" s="1">
        <f>IF(SUM(ATOM!F12,ATOM!F18)=0,0,SUM(ATOM!H12,ATOM!H18)/SUM(ATOM!F12,ATOM!F18))</f>
        <v>97424.273717849021</v>
      </c>
      <c r="F24" s="661">
        <f>ROUND(SUM(ATOM!$F$12,ATOM!$F$18),3)</f>
        <v>0.68600000000000005</v>
      </c>
      <c r="G24" s="661">
        <f>ROUND(SUM(ATOM!$F$12,ATOM!$F$18),3)</f>
        <v>0.68600000000000005</v>
      </c>
      <c r="H24" s="661">
        <f>ROUND(SUM(ATOM!$F$12,ATOM!$F$18),3)</f>
        <v>0.68600000000000005</v>
      </c>
      <c r="I24" s="661">
        <f>ROUND(SUM(ATOM!$F$12,ATOM!$F$18),3)</f>
        <v>0.68600000000000005</v>
      </c>
      <c r="J24" s="661">
        <f>ROUND(SUM(ATOM!$F$12,ATOM!$F$18),3)</f>
        <v>0.68600000000000005</v>
      </c>
      <c r="L24" s="663">
        <f t="shared" si="11"/>
        <v>66833.051770444436</v>
      </c>
      <c r="M24" s="663">
        <f t="shared" si="12"/>
        <v>66833.051770444436</v>
      </c>
      <c r="N24" s="663">
        <f t="shared" si="12"/>
        <v>66833.051770444436</v>
      </c>
      <c r="O24" s="663">
        <f t="shared" si="12"/>
        <v>66833.051770444436</v>
      </c>
      <c r="P24" s="663">
        <f t="shared" si="12"/>
        <v>66833.051770444436</v>
      </c>
    </row>
    <row r="25" spans="2:16">
      <c r="B25" t="s">
        <v>275</v>
      </c>
      <c r="D25" s="1">
        <f>IF(SUM(ATOM!F17,ATOM!F20)=0,0,SUM(ATOM!H17,ATOM!H20)/SUM(ATOM!F17,ATOM!F20))</f>
        <v>10894.315240671822</v>
      </c>
      <c r="F25" s="661">
        <f>ROUND(SUM(ATOM!$F$17,ATOM!$F$20),3)</f>
        <v>2</v>
      </c>
      <c r="G25" s="661">
        <f>ROUND(SUM(ATOM!$F$17,ATOM!$F$20),3)</f>
        <v>2</v>
      </c>
      <c r="H25" s="661">
        <f>ROUND(SUM(ATOM!$F$17,ATOM!$F$20),3)</f>
        <v>2</v>
      </c>
      <c r="I25" s="661">
        <f>ROUND(SUM(ATOM!$F$17,ATOM!$F$20),3)</f>
        <v>2</v>
      </c>
      <c r="J25" s="661">
        <f>ROUND(SUM(ATOM!$F$17,ATOM!$F$20),3)</f>
        <v>2</v>
      </c>
      <c r="L25" s="663">
        <f t="shared" si="11"/>
        <v>21788.630481343644</v>
      </c>
      <c r="M25" s="663">
        <f t="shared" si="12"/>
        <v>21788.630481343644</v>
      </c>
      <c r="N25" s="663">
        <f t="shared" si="12"/>
        <v>21788.630481343644</v>
      </c>
      <c r="O25" s="663">
        <f t="shared" si="12"/>
        <v>21788.630481343644</v>
      </c>
      <c r="P25" s="663">
        <f t="shared" si="12"/>
        <v>21788.630481343644</v>
      </c>
    </row>
    <row r="26" spans="2:16">
      <c r="B26" t="s">
        <v>276</v>
      </c>
      <c r="D26" s="1">
        <f>ATOM!G16</f>
        <v>11518.293750000001</v>
      </c>
      <c r="F26" s="661">
        <f>ROUND(ATOM!$F$16,3)</f>
        <v>0.57099999999999995</v>
      </c>
      <c r="G26" s="661">
        <f>ROUND(ATOM!$F$16,3)</f>
        <v>0.57099999999999995</v>
      </c>
      <c r="H26" s="661">
        <f>ROUND(ATOM!$F$16,3)</f>
        <v>0.57099999999999995</v>
      </c>
      <c r="I26" s="661">
        <f>ROUND(ATOM!$F$16,3)</f>
        <v>0.57099999999999995</v>
      </c>
      <c r="J26" s="661">
        <f>ROUND(ATOM!$F$16,3)</f>
        <v>0.57099999999999995</v>
      </c>
      <c r="L26" s="663">
        <f t="shared" si="11"/>
        <v>6576.9457312499999</v>
      </c>
      <c r="M26" s="663">
        <f t="shared" ref="M26" si="15">G26*$D26</f>
        <v>6576.9457312499999</v>
      </c>
      <c r="N26" s="663">
        <f t="shared" ref="N26" si="16">H26*$D26</f>
        <v>6576.9457312499999</v>
      </c>
      <c r="O26" s="663">
        <f t="shared" ref="O26" si="17">I26*$D26</f>
        <v>6576.9457312499999</v>
      </c>
      <c r="P26" s="663">
        <f t="shared" ref="P26" si="18">J26*$D26</f>
        <v>6576.9457312499999</v>
      </c>
    </row>
    <row r="27" spans="2:16">
      <c r="B27" t="s">
        <v>366</v>
      </c>
      <c r="D27" s="1">
        <f>ATOM!G14</f>
        <v>8260.2478655303021</v>
      </c>
      <c r="F27" s="661">
        <f>ROUND(ATOM!$F$14,3)</f>
        <v>2.613</v>
      </c>
      <c r="G27" s="661">
        <f>ROUND(ATOM!$F$14,3)</f>
        <v>2.613</v>
      </c>
      <c r="H27" s="661">
        <f>ROUND(ATOM!$F$14,3)</f>
        <v>2.613</v>
      </c>
      <c r="I27" s="661">
        <f>ROUND(ATOM!$F$14,3)</f>
        <v>2.613</v>
      </c>
      <c r="J27" s="661">
        <f>ROUND(ATOM!$F$14,3)</f>
        <v>2.613</v>
      </c>
      <c r="L27" s="663">
        <f t="shared" si="11"/>
        <v>21584.02767263068</v>
      </c>
      <c r="M27" s="663">
        <f t="shared" ref="M27" si="19">G27*$D27</f>
        <v>21584.02767263068</v>
      </c>
      <c r="N27" s="663">
        <f t="shared" ref="N27" si="20">H27*$D27</f>
        <v>21584.02767263068</v>
      </c>
      <c r="O27" s="663">
        <f t="shared" ref="O27" si="21">I27*$D27</f>
        <v>21584.02767263068</v>
      </c>
      <c r="P27" s="663">
        <f t="shared" ref="P27" si="22">J27*$D27</f>
        <v>21584.02767263068</v>
      </c>
    </row>
    <row r="28" spans="2:16">
      <c r="B28" t="s">
        <v>24</v>
      </c>
      <c r="D28" s="1">
        <f>UNIT!$AD$49</f>
        <v>3231.94</v>
      </c>
      <c r="F28" s="661">
        <f>ROUND('BASE (MO)'!$AI$13,3)</f>
        <v>6</v>
      </c>
      <c r="G28" s="661">
        <f>ROUND('BASE (MO)'!$AI$13,3)</f>
        <v>6</v>
      </c>
      <c r="H28" s="661">
        <f>ROUND('BASE (MO)'!$AI$13,3)</f>
        <v>6</v>
      </c>
      <c r="I28" s="661">
        <f>ROUND('BASE (MO)'!$AI$13,3)</f>
        <v>6</v>
      </c>
      <c r="J28" s="661">
        <f>ROUND('BASE (MO)'!$AI$13,3)</f>
        <v>6</v>
      </c>
      <c r="L28" s="663">
        <f t="shared" si="11"/>
        <v>19391.64</v>
      </c>
      <c r="M28" s="663">
        <f t="shared" ref="M28:M29" si="23">G28*$D28</f>
        <v>19391.64</v>
      </c>
      <c r="N28" s="663">
        <f t="shared" ref="N28:N29" si="24">H28*$D28</f>
        <v>19391.64</v>
      </c>
      <c r="O28" s="663">
        <f t="shared" ref="O28:O29" si="25">I28*$D28</f>
        <v>19391.64</v>
      </c>
      <c r="P28" s="663">
        <f t="shared" ref="P28:P29" si="26">J28*$D28</f>
        <v>19391.64</v>
      </c>
    </row>
    <row r="29" spans="2:16">
      <c r="B29" t="s">
        <v>80</v>
      </c>
      <c r="D29" s="1">
        <f>UNIT!AD50</f>
        <v>7745.96</v>
      </c>
      <c r="F29" s="661">
        <v>0</v>
      </c>
      <c r="G29" s="661">
        <v>0</v>
      </c>
      <c r="H29" s="661">
        <v>0</v>
      </c>
      <c r="I29" s="661">
        <v>0</v>
      </c>
      <c r="J29" s="661">
        <v>0</v>
      </c>
      <c r="L29" s="663">
        <f t="shared" si="11"/>
        <v>0</v>
      </c>
      <c r="M29" s="663">
        <f t="shared" si="23"/>
        <v>0</v>
      </c>
      <c r="N29" s="663">
        <f t="shared" si="24"/>
        <v>0</v>
      </c>
      <c r="O29" s="663">
        <f t="shared" si="25"/>
        <v>0</v>
      </c>
      <c r="P29" s="663">
        <f t="shared" si="26"/>
        <v>0</v>
      </c>
    </row>
    <row r="30" spans="2:16">
      <c r="B30" t="s">
        <v>367</v>
      </c>
      <c r="D30" s="1">
        <f>UNIT!AD51</f>
        <v>5843.12</v>
      </c>
      <c r="F30" s="661">
        <f>ROUND('BASE (MO)'!$AI$14,3)</f>
        <v>2.3250000000000002</v>
      </c>
      <c r="G30" s="661">
        <f>ROUND('BASE (MO)'!$AI$14,3)</f>
        <v>2.3250000000000002</v>
      </c>
      <c r="H30" s="661">
        <f>ROUND('BASE (MO)'!$AI$14,3)</f>
        <v>2.3250000000000002</v>
      </c>
      <c r="I30" s="661">
        <f>ROUND('BASE (MO)'!$AI$14,3)</f>
        <v>2.3250000000000002</v>
      </c>
      <c r="J30" s="661">
        <f>ROUND('BASE (MO)'!$AI$14,3)</f>
        <v>2.3250000000000002</v>
      </c>
      <c r="L30" s="663">
        <f t="shared" si="11"/>
        <v>13585.254000000001</v>
      </c>
      <c r="M30" s="663">
        <f t="shared" ref="M30" si="27">G30*$D30</f>
        <v>13585.254000000001</v>
      </c>
      <c r="N30" s="663">
        <f t="shared" ref="N30" si="28">H30*$D30</f>
        <v>13585.254000000001</v>
      </c>
      <c r="O30" s="663">
        <f t="shared" ref="O30" si="29">I30*$D30</f>
        <v>13585.254000000001</v>
      </c>
      <c r="P30" s="663">
        <f t="shared" ref="P30" si="30">J30*$D30</f>
        <v>13585.254000000001</v>
      </c>
    </row>
    <row r="31" spans="2:16">
      <c r="B31" t="s">
        <v>385</v>
      </c>
      <c r="D31" s="1">
        <f>'R1-Estruc'!F27</f>
        <v>50.5</v>
      </c>
      <c r="F31" s="662">
        <f>FICHA!$I$26</f>
        <v>0</v>
      </c>
      <c r="G31" s="662">
        <f>FICHA!$I$26</f>
        <v>0</v>
      </c>
      <c r="H31" s="662">
        <f>FICHA!$I$26</f>
        <v>0</v>
      </c>
      <c r="I31" s="662">
        <f>FICHA!$I$26</f>
        <v>0</v>
      </c>
      <c r="J31" s="662">
        <f>FICHA!$I$26</f>
        <v>0</v>
      </c>
      <c r="L31" s="663">
        <f t="shared" si="11"/>
        <v>0</v>
      </c>
      <c r="M31" s="663">
        <f t="shared" ref="M31" si="31">G31*$D31</f>
        <v>0</v>
      </c>
      <c r="N31" s="663">
        <f t="shared" ref="N31" si="32">H31*$D31</f>
        <v>0</v>
      </c>
      <c r="O31" s="663">
        <f t="shared" ref="O31" si="33">I31*$D31</f>
        <v>0</v>
      </c>
      <c r="P31" s="663">
        <f t="shared" ref="P31" si="34">J31*$D31</f>
        <v>0</v>
      </c>
    </row>
    <row r="32" spans="2:16">
      <c r="B32" t="s">
        <v>383</v>
      </c>
      <c r="D32" s="1">
        <f>UNIT!AD52</f>
        <v>11386.73</v>
      </c>
      <c r="F32" s="15">
        <f>FICHA!$I$27</f>
        <v>1.4</v>
      </c>
      <c r="G32" s="15">
        <f>FICHA!$I$27</f>
        <v>1.4</v>
      </c>
      <c r="H32" s="15">
        <f>FICHA!$I$27</f>
        <v>1.4</v>
      </c>
      <c r="I32" s="15">
        <f>FICHA!$I$27</f>
        <v>1.4</v>
      </c>
      <c r="J32" s="15">
        <f>FICHA!$I$27</f>
        <v>1.4</v>
      </c>
      <c r="L32" s="663">
        <f t="shared" si="11"/>
        <v>15941.421999999999</v>
      </c>
      <c r="M32" s="663">
        <f t="shared" ref="M32" si="35">G32*$D32</f>
        <v>15941.421999999999</v>
      </c>
      <c r="N32" s="663">
        <f t="shared" ref="N32" si="36">H32*$D32</f>
        <v>15941.421999999999</v>
      </c>
      <c r="O32" s="663">
        <f t="shared" ref="O32" si="37">I32*$D32</f>
        <v>15941.421999999999</v>
      </c>
      <c r="P32" s="663">
        <f t="shared" ref="P32" si="38">J32*$D32</f>
        <v>15941.421999999999</v>
      </c>
    </row>
    <row r="33" spans="2:16">
      <c r="B33" s="9" t="s">
        <v>447</v>
      </c>
      <c r="L33" s="523">
        <f>SUM(L19:L32)</f>
        <v>719608.27925548202</v>
      </c>
      <c r="M33" s="523">
        <f t="shared" ref="M33:P33" si="39">SUM(M19:M32)</f>
        <v>748893.6187291661</v>
      </c>
      <c r="N33" s="523">
        <f t="shared" si="39"/>
        <v>797939.29767653451</v>
      </c>
      <c r="O33" s="523">
        <f t="shared" si="39"/>
        <v>836749.63715021883</v>
      </c>
      <c r="P33" s="523">
        <f t="shared" si="39"/>
        <v>876270.31609758723</v>
      </c>
    </row>
    <row r="35" spans="2:16">
      <c r="B35" s="665" t="s">
        <v>528</v>
      </c>
      <c r="D35" s="1">
        <f>UNIT!AD74*20</f>
        <v>30426.938000000002</v>
      </c>
      <c r="F35" s="660">
        <f>F2</f>
        <v>37</v>
      </c>
      <c r="G35" s="660">
        <f t="shared" ref="G35:J35" si="40">G2</f>
        <v>42</v>
      </c>
      <c r="H35" s="660">
        <f t="shared" si="40"/>
        <v>49</v>
      </c>
      <c r="I35" s="660">
        <f t="shared" si="40"/>
        <v>56</v>
      </c>
      <c r="J35" s="660">
        <f t="shared" si="40"/>
        <v>62</v>
      </c>
      <c r="L35" s="523">
        <f t="shared" ref="L35" si="41">F35*$D35</f>
        <v>1125796.706</v>
      </c>
      <c r="M35" s="523">
        <f t="shared" ref="M35" si="42">G35*$D35</f>
        <v>1277931.3960000002</v>
      </c>
      <c r="N35" s="523">
        <f t="shared" ref="N35" si="43">H35*$D35</f>
        <v>1490919.9620000001</v>
      </c>
      <c r="O35" s="523">
        <f t="shared" ref="O35" si="44">I35*$D35</f>
        <v>1703908.5280000002</v>
      </c>
      <c r="P35" s="523">
        <f t="shared" ref="P35" si="45">J35*$D35</f>
        <v>1886470.1560000002</v>
      </c>
    </row>
    <row r="36" spans="2:16">
      <c r="F36" s="660"/>
    </row>
    <row r="37" spans="2:16">
      <c r="B37" t="s">
        <v>169</v>
      </c>
      <c r="D37" s="1">
        <f>UNIT!AD57</f>
        <v>14.318899999999999</v>
      </c>
      <c r="F37" s="670">
        <f>SUM(F20:F22)*45</f>
        <v>1845</v>
      </c>
      <c r="G37" s="670">
        <f t="shared" ref="G37:J37" si="46">SUM(G20:G22)*45</f>
        <v>1912.5</v>
      </c>
      <c r="H37" s="670">
        <f t="shared" si="46"/>
        <v>2025</v>
      </c>
      <c r="I37" s="670">
        <f t="shared" si="46"/>
        <v>2115</v>
      </c>
      <c r="J37" s="670">
        <f t="shared" si="46"/>
        <v>2205</v>
      </c>
      <c r="L37" s="663">
        <f t="shared" ref="L37:L39" si="47">F37*$D37</f>
        <v>26418.370499999997</v>
      </c>
      <c r="M37" s="663">
        <f t="shared" ref="M37:M39" si="48">G37*$D37</f>
        <v>27384.896249999998</v>
      </c>
      <c r="N37" s="663">
        <f t="shared" ref="N37:N39" si="49">H37*$D37</f>
        <v>28995.772499999999</v>
      </c>
      <c r="O37" s="663">
        <f t="shared" ref="O37:O39" si="50">I37*$D37</f>
        <v>30284.4735</v>
      </c>
      <c r="P37" s="663">
        <f t="shared" ref="P37:P39" si="51">J37*$D37</f>
        <v>31573.174499999997</v>
      </c>
    </row>
    <row r="38" spans="2:16">
      <c r="B38" t="s">
        <v>25</v>
      </c>
      <c r="D38" s="1">
        <f>UNIT!AD63</f>
        <v>25.816099999999999</v>
      </c>
      <c r="F38" s="662">
        <f>F19</f>
        <v>0</v>
      </c>
      <c r="G38" s="662">
        <f t="shared" ref="G38:J38" si="52">G19</f>
        <v>0</v>
      </c>
      <c r="H38" s="662">
        <f t="shared" si="52"/>
        <v>0</v>
      </c>
      <c r="I38" s="662">
        <f t="shared" si="52"/>
        <v>0</v>
      </c>
      <c r="J38" s="662">
        <f t="shared" si="52"/>
        <v>0</v>
      </c>
      <c r="L38" s="663">
        <f t="shared" si="47"/>
        <v>0</v>
      </c>
      <c r="M38" s="663">
        <f t="shared" si="48"/>
        <v>0</v>
      </c>
      <c r="N38" s="663">
        <f t="shared" si="49"/>
        <v>0</v>
      </c>
      <c r="O38" s="663">
        <f t="shared" si="50"/>
        <v>0</v>
      </c>
      <c r="P38" s="663">
        <f t="shared" si="51"/>
        <v>0</v>
      </c>
    </row>
    <row r="39" spans="2:16">
      <c r="B39" t="s">
        <v>183</v>
      </c>
      <c r="D39" s="1">
        <f>UNIT!AD69</f>
        <v>1699.8172</v>
      </c>
      <c r="F39" s="660">
        <f>F35</f>
        <v>37</v>
      </c>
      <c r="G39" s="660">
        <f t="shared" ref="G39:J39" si="53">G35</f>
        <v>42</v>
      </c>
      <c r="H39" s="660">
        <f t="shared" si="53"/>
        <v>49</v>
      </c>
      <c r="I39" s="660">
        <f t="shared" si="53"/>
        <v>56</v>
      </c>
      <c r="J39" s="660">
        <f t="shared" si="53"/>
        <v>62</v>
      </c>
      <c r="L39" s="663">
        <f t="shared" si="47"/>
        <v>62893.236400000002</v>
      </c>
      <c r="M39" s="663">
        <f t="shared" si="48"/>
        <v>71392.322400000005</v>
      </c>
      <c r="N39" s="663">
        <f t="shared" si="49"/>
        <v>83291.042799999996</v>
      </c>
      <c r="O39" s="663">
        <f t="shared" si="50"/>
        <v>95189.763200000001</v>
      </c>
      <c r="P39" s="663">
        <f t="shared" si="51"/>
        <v>105388.6664</v>
      </c>
    </row>
    <row r="40" spans="2:16">
      <c r="B40" s="665" t="s">
        <v>481</v>
      </c>
      <c r="D40" s="1"/>
      <c r="F40" s="660"/>
      <c r="G40" s="660"/>
      <c r="H40" s="660"/>
      <c r="I40" s="660"/>
      <c r="J40" s="660"/>
      <c r="L40" s="523">
        <f>SUM(L37:L39)</f>
        <v>89311.606899999999</v>
      </c>
      <c r="M40" s="523">
        <f t="shared" ref="M40:P40" si="54">SUM(M37:M39)</f>
        <v>98777.218649999995</v>
      </c>
      <c r="N40" s="523">
        <f t="shared" si="54"/>
        <v>112286.81529999999</v>
      </c>
      <c r="O40" s="523">
        <f t="shared" si="54"/>
        <v>125474.23670000001</v>
      </c>
      <c r="P40" s="523">
        <f t="shared" si="54"/>
        <v>136961.84090000001</v>
      </c>
    </row>
    <row r="42" spans="2:16">
      <c r="B42" s="9" t="s">
        <v>402</v>
      </c>
      <c r="F42" s="690">
        <f>F52/SUM(F60:F61)</f>
        <v>0.62280154214988104</v>
      </c>
      <c r="G42" s="690">
        <f t="shared" ref="G42:J42" si="55">G52/SUM(G60:G61)</f>
        <v>0.71036865713310793</v>
      </c>
      <c r="H42" s="690">
        <f t="shared" si="55"/>
        <v>0.83040026234273845</v>
      </c>
      <c r="I42" s="690">
        <f t="shared" si="55"/>
        <v>0.94738451911955657</v>
      </c>
      <c r="J42" s="690">
        <f t="shared" si="55"/>
        <v>1.0451934183879217</v>
      </c>
      <c r="L42" s="663">
        <f>(IF(F53&gt;F60,F60,F53)+IF(F54&gt;F61,F61,F54))/FICHA!$E$32</f>
        <v>175675.96650000001</v>
      </c>
      <c r="M42" s="663">
        <f>(IF(G53&gt;G60,G60,G53)+IF(G54&gt;G61,G61,G54))/FICHA!$E$32</f>
        <v>200376.351</v>
      </c>
      <c r="N42" s="663">
        <f>(IF(H53&gt;H60,H60,H53)+IF(H54&gt;H61,H61,H54))/FICHA!$E$32</f>
        <v>234234.11600000001</v>
      </c>
      <c r="O42" s="663">
        <f>(IF(I53&gt;I60,I60,I53)+IF(I54&gt;I61,I61,I54))/FICHA!$E$32</f>
        <v>267232.304</v>
      </c>
      <c r="P42" s="663">
        <f>(IF(J53&gt;J60,J60,J53)+IF(J54&gt;J61,J61,J54))/FICHA!$E$32</f>
        <v>282073.75</v>
      </c>
    </row>
    <row r="43" spans="2:16">
      <c r="B43" s="9" t="s">
        <v>63</v>
      </c>
      <c r="L43" s="663">
        <f ca="1">(INVENT!$J$6/FICHA!$E$33)+(INVENT!$J$15/FICHA!$E$34)</f>
        <v>26831.09303700849</v>
      </c>
      <c r="M43" s="663">
        <f ca="1">(INVENT!$J$6/FICHA!$E$33)+(INVENT!$J$15/FICHA!$E$34)</f>
        <v>26831.09303700849</v>
      </c>
      <c r="N43" s="663">
        <f ca="1">(INVENT!$J$6/FICHA!$E$33)+(INVENT!$J$15/FICHA!$E$34)</f>
        <v>26831.09303700849</v>
      </c>
      <c r="O43" s="663">
        <f ca="1">(INVENT!$J$6/FICHA!$E$33)+(INVENT!$J$15/FICHA!$E$34)</f>
        <v>26831.09303700849</v>
      </c>
      <c r="P43" s="663">
        <f ca="1">(INVENT!$J$6/FICHA!$E$33)+(INVENT!$J$15/FICHA!$E$34)</f>
        <v>26831.09303700849</v>
      </c>
    </row>
    <row r="44" spans="2:16">
      <c r="B44" s="9" t="s">
        <v>61</v>
      </c>
      <c r="L44" s="663">
        <f ca="1">(INVENT!$J$6*INVENT!$A$6)+(INVENT!$J$10*INVENT!$A$10)+(INVENT!$J$15*INVENT!$A$15)+(INVENT!$J$21*INVENT!$A$21)</f>
        <v>104872.604228375</v>
      </c>
      <c r="M44" s="663">
        <f ca="1">(INVENT!$J$6*INVENT!$A$6)+(INVENT!$J$10*INVENT!$A$10)+(INVENT!$J$15*INVENT!$A$15)+(INVENT!$J$21*INVENT!$A$21)</f>
        <v>104872.604228375</v>
      </c>
      <c r="N44" s="663">
        <f ca="1">(INVENT!$J$6*INVENT!$A$6)+(INVENT!$J$10*INVENT!$A$10)+(INVENT!$J$15*INVENT!$A$15)+(INVENT!$J$21*INVENT!$A$21)</f>
        <v>104872.604228375</v>
      </c>
      <c r="O44" s="663">
        <f ca="1">(INVENT!$J$6*INVENT!$A$6)+(INVENT!$J$10*INVENT!$A$10)+(INVENT!$J$15*INVENT!$A$15)+(INVENT!$J$21*INVENT!$A$21)</f>
        <v>104872.604228375</v>
      </c>
      <c r="P44" s="663">
        <f ca="1">(INVENT!$J$6*INVENT!$A$6)+(INVENT!$J$10*INVENT!$A$10)+(INVENT!$J$15*INVENT!$A$15)+(INVENT!$J$21*INVENT!$A$21)</f>
        <v>104872.604228375</v>
      </c>
    </row>
    <row r="45" spans="2:16">
      <c r="B45" s="9" t="s">
        <v>224</v>
      </c>
      <c r="L45" s="663">
        <f>SUM(FICHA!$J$30:$J$32)</f>
        <v>52494.42</v>
      </c>
      <c r="M45" s="663">
        <f>SUM(FICHA!$J$30:$J$32)</f>
        <v>52494.42</v>
      </c>
      <c r="N45" s="663">
        <f>SUM(FICHA!$J$30:$J$32)</f>
        <v>52494.42</v>
      </c>
      <c r="O45" s="663">
        <f>SUM(FICHA!$J$30:$J$32)</f>
        <v>52494.42</v>
      </c>
      <c r="P45" s="663">
        <f>SUM(FICHA!$J$30:$J$32)</f>
        <v>52494.42</v>
      </c>
    </row>
    <row r="46" spans="2:16">
      <c r="B46" s="665" t="s">
        <v>530</v>
      </c>
      <c r="L46" s="523">
        <f ca="1">SUM(L42:L45)</f>
        <v>359874.08376538346</v>
      </c>
      <c r="M46" s="523">
        <f t="shared" ref="M46:P46" ca="1" si="56">SUM(M42:M45)</f>
        <v>384574.46826538345</v>
      </c>
      <c r="N46" s="523">
        <f t="shared" ca="1" si="56"/>
        <v>418432.23326538346</v>
      </c>
      <c r="O46" s="523">
        <f t="shared" ca="1" si="56"/>
        <v>451430.42126538348</v>
      </c>
      <c r="P46" s="523">
        <f t="shared" ca="1" si="56"/>
        <v>466271.86726538348</v>
      </c>
    </row>
    <row r="47" spans="2:16" ht="13.5" thickBot="1"/>
    <row r="48" spans="2:16">
      <c r="B48" s="691" t="s">
        <v>531</v>
      </c>
      <c r="L48" s="693">
        <f ca="1">SUM(L17,L33,L35,L40,L46)</f>
        <v>3121075.4721981459</v>
      </c>
      <c r="M48" s="694">
        <f t="shared" ref="M48:P48" ca="1" si="57">SUM(M17,M33,M35,M40,M46)</f>
        <v>3338362.5839476879</v>
      </c>
      <c r="N48" s="694">
        <f t="shared" ca="1" si="57"/>
        <v>3650680.3380179545</v>
      </c>
      <c r="O48" s="694">
        <f t="shared" ca="1" si="57"/>
        <v>3950608.9512069039</v>
      </c>
      <c r="P48" s="695">
        <f t="shared" ca="1" si="57"/>
        <v>4200721.3943801308</v>
      </c>
    </row>
    <row r="49" spans="2:16" ht="13.5" thickBot="1">
      <c r="B49" s="692" t="s">
        <v>532</v>
      </c>
      <c r="L49" s="696">
        <f ca="1">L48/L2</f>
        <v>84353.391140490436</v>
      </c>
      <c r="M49" s="697">
        <f t="shared" ref="M49:P49" ca="1" si="58">M48/M2</f>
        <v>79484.8234273259</v>
      </c>
      <c r="N49" s="697">
        <f t="shared" ca="1" si="58"/>
        <v>74503.680367713358</v>
      </c>
      <c r="O49" s="697">
        <f t="shared" ca="1" si="58"/>
        <v>70546.588414408994</v>
      </c>
      <c r="P49" s="698">
        <f t="shared" ca="1" si="58"/>
        <v>67753.570877098886</v>
      </c>
    </row>
    <row r="51" spans="2:16">
      <c r="L51" s="663"/>
    </row>
    <row r="52" spans="2:16">
      <c r="B52" s="665" t="s">
        <v>402</v>
      </c>
      <c r="F52" s="671">
        <f>ROUND(AVERAGE(F55:F57),2)</f>
        <v>3513519.33</v>
      </c>
      <c r="G52" s="672">
        <f t="shared" ref="G52:J52" si="59">ROUND(AVERAGE(G55:G57),2)</f>
        <v>4007527.02</v>
      </c>
      <c r="H52" s="672">
        <f t="shared" si="59"/>
        <v>4684682.32</v>
      </c>
      <c r="I52" s="672">
        <f t="shared" si="59"/>
        <v>5344646.08</v>
      </c>
      <c r="J52" s="673">
        <f t="shared" si="59"/>
        <v>5896432.54</v>
      </c>
      <c r="L52" s="1"/>
    </row>
    <row r="53" spans="2:16">
      <c r="B53" s="125" t="s">
        <v>519</v>
      </c>
      <c r="D53" s="664">
        <f>AGOT!AA8</f>
        <v>0.7832001914708927</v>
      </c>
      <c r="F53" s="663">
        <f>ROUND(F52*$D$53,2)</f>
        <v>2751789.01</v>
      </c>
      <c r="G53" s="663">
        <f t="shared" ref="G53:J53" si="60">ROUND(G52*$D$53,2)</f>
        <v>3138695.93</v>
      </c>
      <c r="H53" s="663">
        <f t="shared" si="60"/>
        <v>3669044.09</v>
      </c>
      <c r="I53" s="663">
        <f t="shared" si="60"/>
        <v>4185927.83</v>
      </c>
      <c r="J53" s="663">
        <f t="shared" si="60"/>
        <v>4618087.09</v>
      </c>
      <c r="L53" s="663"/>
    </row>
    <row r="54" spans="2:16">
      <c r="B54" s="125" t="s">
        <v>520</v>
      </c>
      <c r="F54" s="663">
        <f>F52-F53</f>
        <v>761730.3200000003</v>
      </c>
      <c r="G54" s="663">
        <f t="shared" ref="G54:J54" si="61">G52-G53</f>
        <v>868831.08999999985</v>
      </c>
      <c r="H54" s="663">
        <f t="shared" si="61"/>
        <v>1015638.2300000004</v>
      </c>
      <c r="I54" s="663">
        <f t="shared" si="61"/>
        <v>1158718.25</v>
      </c>
      <c r="J54" s="663">
        <f t="shared" si="61"/>
        <v>1278345.4500000002</v>
      </c>
    </row>
    <row r="55" spans="2:16">
      <c r="B55" s="677" t="s">
        <v>386</v>
      </c>
      <c r="F55" s="680">
        <f>AGOT!$AA$18+AGOT!$AA$19*(F2)</f>
        <v>3497519.04</v>
      </c>
      <c r="G55" s="681">
        <f>AGOT!$AA$18+AGOT!$AA$19*(G2)</f>
        <v>3985537.2399999998</v>
      </c>
      <c r="H55" s="681">
        <f>AGOT!$AA$18+AGOT!$AA$19*(H2)</f>
        <v>4668762.7200000007</v>
      </c>
      <c r="I55" s="681">
        <f>AGOT!$AA$18+AGOT!$AA$19*(I2)</f>
        <v>5351988.2</v>
      </c>
      <c r="J55" s="682">
        <f>AGOT!$AA$18+AGOT!$AA$19*(J2)</f>
        <v>5937610.04</v>
      </c>
      <c r="L55" s="674"/>
    </row>
    <row r="56" spans="2:16">
      <c r="B56" s="678" t="s">
        <v>394</v>
      </c>
      <c r="F56" s="683">
        <f>AGOT!$AA$22+AGOT!$AA$23*(F2)+AGOT!$AA$24*POWER(F2,2)</f>
        <v>3593737.92</v>
      </c>
      <c r="G56" s="663">
        <f>AGOT!$AA$22+AGOT!$AA$23*(G2)+AGOT!$AA$24*POWER(G2,2)</f>
        <v>4086726.42</v>
      </c>
      <c r="H56" s="663">
        <f>AGOT!$AA$22+AGOT!$AA$23*(H2)+AGOT!$AA$24*POWER(H2,2)</f>
        <v>4726580.88</v>
      </c>
      <c r="I56" s="663">
        <f>AGOT!$AA$22+AGOT!$AA$23*(I2)+AGOT!$AA$24*POWER(I2,2)</f>
        <v>5307717.66</v>
      </c>
      <c r="J56" s="684">
        <f>AGOT!$AA$22+AGOT!$AA$23*(J2)+AGOT!$AA$24*POWER(J2,2)</f>
        <v>5759100.4199999999</v>
      </c>
      <c r="L56" s="674"/>
    </row>
    <row r="57" spans="2:16">
      <c r="B57" s="679" t="s">
        <v>335</v>
      </c>
      <c r="F57" s="685">
        <f>EXP(AGOT!$AA$26+AGOT!$AA$27*LN(F2))</f>
        <v>3449301.0232667238</v>
      </c>
      <c r="G57" s="686">
        <f>EXP(AGOT!$AA$26+AGOT!$AA$27*LN(G2))</f>
        <v>3950317.4137619757</v>
      </c>
      <c r="H57" s="686">
        <f>EXP(AGOT!$AA$26+AGOT!$AA$27*LN(H2))</f>
        <v>4658703.3624318251</v>
      </c>
      <c r="I57" s="686">
        <f>EXP(AGOT!$AA$26+AGOT!$AA$27*LN(I2))</f>
        <v>5374232.3817768088</v>
      </c>
      <c r="J57" s="687">
        <f>EXP(AGOT!$AA$26+AGOT!$AA$27*LN(J2))</f>
        <v>5992587.1717791436</v>
      </c>
      <c r="L57" s="674"/>
    </row>
    <row r="58" spans="2:16">
      <c r="B58" s="675"/>
      <c r="L58" s="674"/>
    </row>
    <row r="59" spans="2:16">
      <c r="B59" s="675" t="s">
        <v>529</v>
      </c>
    </row>
    <row r="60" spans="2:16">
      <c r="B60" s="688" t="s">
        <v>519</v>
      </c>
      <c r="F60" s="680">
        <f>AGOT!$AA$15</f>
        <v>4418404.3</v>
      </c>
      <c r="G60" s="681">
        <f>AGOT!$AA$15</f>
        <v>4418404.3</v>
      </c>
      <c r="H60" s="681">
        <f>AGOT!$AA$15</f>
        <v>4418404.3</v>
      </c>
      <c r="I60" s="681">
        <f>AGOT!$AA$15</f>
        <v>4418404.3</v>
      </c>
      <c r="J60" s="682">
        <f>AGOT!$AA$15</f>
        <v>4418404.3</v>
      </c>
    </row>
    <row r="61" spans="2:16">
      <c r="B61" s="689" t="s">
        <v>520</v>
      </c>
      <c r="F61" s="685">
        <f>AGOT!$AA$16</f>
        <v>1223070.7</v>
      </c>
      <c r="G61" s="686">
        <f>AGOT!$AA$16</f>
        <v>1223070.7</v>
      </c>
      <c r="H61" s="686">
        <f>AGOT!$AA$16</f>
        <v>1223070.7</v>
      </c>
      <c r="I61" s="686">
        <f>AGOT!$AA$16</f>
        <v>1223070.7</v>
      </c>
      <c r="J61" s="687">
        <f>AGOT!$AA$16</f>
        <v>1223070.7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N51"/>
  <sheetViews>
    <sheetView showGridLines="0" workbookViewId="0">
      <pane ySplit="8" topLeftCell="A9" activePane="bottomLeft" state="frozen"/>
      <selection activeCell="B56" sqref="B56"/>
      <selection pane="bottomLeft" activeCell="P15" sqref="P15:P30"/>
    </sheetView>
  </sheetViews>
  <sheetFormatPr baseColWidth="10" defaultColWidth="11.42578125" defaultRowHeight="12.75"/>
  <cols>
    <col min="1" max="1" width="2.5703125" style="9" bestFit="1" customWidth="1"/>
    <col min="2" max="2" width="23.7109375" style="9" customWidth="1"/>
    <col min="3" max="3" width="10.140625" style="9" bestFit="1" customWidth="1"/>
    <col min="4" max="4" width="8.85546875" style="9" customWidth="1"/>
    <col min="5" max="5" width="9.140625" style="9" bestFit="1" customWidth="1"/>
    <col min="6" max="6" width="10.140625" style="9" customWidth="1"/>
    <col min="7" max="7" width="2" style="9" customWidth="1"/>
    <col min="8" max="8" width="9.42578125" style="9" customWidth="1"/>
    <col min="9" max="9" width="8.85546875" style="9" customWidth="1"/>
    <col min="10" max="10" width="10.7109375" style="9" bestFit="1" customWidth="1"/>
    <col min="11" max="11" width="0.85546875" style="9" customWidth="1"/>
    <col min="12" max="12" width="7.85546875" style="9" customWidth="1"/>
    <col min="13" max="13" width="2.140625" style="90" customWidth="1"/>
    <col min="14" max="14" width="10.5703125" style="91" bestFit="1" customWidth="1"/>
    <col min="15" max="15" width="15.85546875" style="9" bestFit="1" customWidth="1"/>
    <col min="16" max="16" width="9.140625" style="9" bestFit="1" customWidth="1"/>
    <col min="17" max="16384" width="11.42578125" style="9"/>
  </cols>
  <sheetData>
    <row r="1" spans="1:14" ht="18">
      <c r="A1" s="8" t="s">
        <v>154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N1" s="90"/>
    </row>
    <row r="2" spans="1:14" ht="18">
      <c r="A2" s="8" t="str">
        <f>'R1-Estruc'!B2</f>
        <v>Recomendación Técnica Nacionala - Fincas de 40 a 70 fanb/ha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N2" s="90"/>
    </row>
    <row r="3" spans="1:14" ht="18">
      <c r="A3" s="8" t="str">
        <f>'R1-Estruc'!B3</f>
        <v>Cosecha 2026-2027 (abr-mar)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N3" s="90"/>
    </row>
    <row r="4" spans="1:14" ht="13.5" thickBot="1"/>
    <row r="5" spans="1:14" ht="18" customHeight="1" thickTop="1" thickBot="1">
      <c r="A5" s="92" t="s">
        <v>155</v>
      </c>
      <c r="B5" s="10"/>
      <c r="C5" s="93">
        <f>FICHA!J5*FICHA!J6</f>
        <v>1735.3263148865096</v>
      </c>
      <c r="D5" s="94" t="s">
        <v>173</v>
      </c>
    </row>
    <row r="6" spans="1:14" ht="14.25" thickTop="1" thickBot="1"/>
    <row r="7" spans="1:14" ht="13.5" thickBot="1">
      <c r="C7" s="95" t="s">
        <v>16</v>
      </c>
      <c r="D7" s="96" t="s">
        <v>10</v>
      </c>
      <c r="E7" s="95" t="s">
        <v>57</v>
      </c>
      <c r="F7" s="97" t="s">
        <v>10</v>
      </c>
      <c r="G7" s="95"/>
      <c r="H7" s="98" t="s">
        <v>186</v>
      </c>
      <c r="I7" s="99"/>
      <c r="J7" s="100"/>
    </row>
    <row r="8" spans="1:14" ht="13.5" thickBot="1">
      <c r="B8" s="101" t="s">
        <v>14</v>
      </c>
      <c r="C8" s="102" t="s">
        <v>18</v>
      </c>
      <c r="D8" s="103" t="s">
        <v>56</v>
      </c>
      <c r="E8" s="102" t="s">
        <v>58</v>
      </c>
      <c r="F8" s="104" t="s">
        <v>57</v>
      </c>
      <c r="G8" s="102"/>
      <c r="H8" s="105" t="s">
        <v>156</v>
      </c>
      <c r="I8" s="106" t="s">
        <v>157</v>
      </c>
      <c r="J8" s="106" t="s">
        <v>175</v>
      </c>
      <c r="K8" s="102"/>
      <c r="L8" s="107" t="s">
        <v>158</v>
      </c>
    </row>
    <row r="9" spans="1:14" ht="4.5" customHeight="1">
      <c r="D9" s="108"/>
      <c r="F9" s="108"/>
      <c r="I9" s="109"/>
      <c r="J9" s="109"/>
      <c r="L9" s="110"/>
    </row>
    <row r="10" spans="1:14">
      <c r="A10" s="111">
        <v>1</v>
      </c>
      <c r="B10" s="111" t="s">
        <v>176</v>
      </c>
      <c r="C10" s="111"/>
      <c r="D10" s="112"/>
      <c r="E10" s="111"/>
      <c r="F10" s="112"/>
      <c r="G10" s="111"/>
      <c r="H10" s="113">
        <f ca="1">SUM(H11:H12)</f>
        <v>1661.811265516149</v>
      </c>
      <c r="I10" s="114">
        <f ca="1">SUM(I11:I12)</f>
        <v>0.95763618131085138</v>
      </c>
      <c r="J10" s="114">
        <f ca="1">SUM(J11:J12)</f>
        <v>43.437646507853877</v>
      </c>
      <c r="K10" s="115"/>
      <c r="L10" s="116">
        <f ca="1">SUM(L11:L12)</f>
        <v>0.25488617039280342</v>
      </c>
    </row>
    <row r="11" spans="1:14">
      <c r="B11" s="9" t="s">
        <v>177</v>
      </c>
      <c r="C11" s="117">
        <f>FICHA!B16</f>
        <v>340.6</v>
      </c>
      <c r="D11" s="118" t="s">
        <v>159</v>
      </c>
      <c r="E11" s="119">
        <f ca="1">FICHA!E5/FICHA!J34</f>
        <v>3.3544654995141303</v>
      </c>
      <c r="F11" s="120" t="s">
        <v>160</v>
      </c>
      <c r="G11" s="11"/>
      <c r="H11" s="119">
        <f ca="1">IF(OR(C11="-",E11=0),"-",C11*E11)</f>
        <v>1142.5309491345129</v>
      </c>
      <c r="I11" s="121">
        <f ca="1">H11/$C$5</f>
        <v>0.65839544950900741</v>
      </c>
      <c r="J11" s="122">
        <f ca="1">100*I11*$N$11</f>
        <v>29.864315234000603</v>
      </c>
      <c r="K11" s="11"/>
      <c r="L11" s="123">
        <f ca="1">IF(H11="-","-",H11/$H$48)</f>
        <v>0.17523971838625191</v>
      </c>
      <c r="N11" s="124">
        <v>0.45359237000000002</v>
      </c>
    </row>
    <row r="12" spans="1:14">
      <c r="B12" s="125" t="s">
        <v>178</v>
      </c>
      <c r="C12" s="117">
        <f>FICHA!E6*100</f>
        <v>45.45</v>
      </c>
      <c r="D12" s="118" t="s">
        <v>161</v>
      </c>
      <c r="E12" s="119"/>
      <c r="F12" s="120" t="s">
        <v>27</v>
      </c>
      <c r="G12" s="11"/>
      <c r="H12" s="119">
        <f ca="1">H11*C12/100</f>
        <v>519.28031638163611</v>
      </c>
      <c r="I12" s="121">
        <f ca="1">H12/$C$5</f>
        <v>0.29924073180184391</v>
      </c>
      <c r="J12" s="122">
        <f ca="1">100*I12*$N$11</f>
        <v>13.573331273853276</v>
      </c>
      <c r="K12" s="11"/>
      <c r="L12" s="123">
        <f ca="1">IF(H12="-","-",H12/$H$48)</f>
        <v>7.9646452006551502E-2</v>
      </c>
    </row>
    <row r="13" spans="1:14" ht="3.75" customHeight="1">
      <c r="D13" s="108"/>
      <c r="E13" s="119"/>
      <c r="F13" s="126"/>
      <c r="G13" s="11"/>
      <c r="H13" s="95"/>
      <c r="I13" s="127"/>
      <c r="J13" s="127"/>
      <c r="L13" s="123"/>
    </row>
    <row r="14" spans="1:14">
      <c r="A14" s="111">
        <v>2</v>
      </c>
      <c r="B14" s="111" t="s">
        <v>103</v>
      </c>
      <c r="C14" s="111"/>
      <c r="D14" s="112"/>
      <c r="E14" s="113"/>
      <c r="F14" s="128"/>
      <c r="G14" s="115"/>
      <c r="H14" s="113">
        <f ca="1">SUM(H15:H29)</f>
        <v>1466.7714970488876</v>
      </c>
      <c r="I14" s="114">
        <f ca="1">SUM(I15:I29)</f>
        <v>0.84524246792443425</v>
      </c>
      <c r="J14" s="114">
        <f ca="1">SUM(J15:J29)</f>
        <v>38.339553425049303</v>
      </c>
      <c r="K14" s="115"/>
      <c r="L14" s="116">
        <f ca="1">SUM(L15:L29)</f>
        <v>0.22497125725525233</v>
      </c>
    </row>
    <row r="15" spans="1:14">
      <c r="B15" s="9" t="s">
        <v>106</v>
      </c>
      <c r="C15" s="119">
        <f>'R1-Estruc'!D15</f>
        <v>0</v>
      </c>
      <c r="D15" s="118" t="s">
        <v>21</v>
      </c>
      <c r="E15" s="119">
        <f ca="1">'R1-Estruc'!F15/'R1-Estruc'!$F$57</f>
        <v>0.60628152999204998</v>
      </c>
      <c r="F15" s="120" t="s">
        <v>162</v>
      </c>
      <c r="G15" s="11"/>
      <c r="H15" s="119">
        <f t="shared" ref="H15" ca="1" si="0">IF(OR(C15="-",E15=0),"-",C15*E15)</f>
        <v>0</v>
      </c>
      <c r="I15" s="121">
        <f t="shared" ref="I15" ca="1" si="1">IF(H15="-","-",H15/$C$5)</f>
        <v>0</v>
      </c>
      <c r="J15" s="122">
        <f t="shared" ref="J15" ca="1" si="2">IF(I15="-","-",100*I15*$N$11)</f>
        <v>0</v>
      </c>
      <c r="K15" s="11"/>
      <c r="L15" s="123">
        <f t="shared" ref="L15" ca="1" si="3">IF(H15="-","-",H15/$H$48)</f>
        <v>0</v>
      </c>
    </row>
    <row r="16" spans="1:14">
      <c r="B16" s="9" t="s">
        <v>163</v>
      </c>
      <c r="C16" s="119">
        <f>'R1-Estruc'!D16</f>
        <v>765</v>
      </c>
      <c r="D16" s="118" t="s">
        <v>121</v>
      </c>
      <c r="E16" s="119">
        <f ca="1">'R1-Estruc'!F16/'R1-Estruc'!$F$57</f>
        <v>0.87927485426955809</v>
      </c>
      <c r="F16" s="120" t="s">
        <v>157</v>
      </c>
      <c r="G16" s="11"/>
      <c r="H16" s="119">
        <f t="shared" ref="H16:H28" ca="1" si="4">IF(OR(C16="-",E16=0),"-",C16*E16)</f>
        <v>672.64526351621191</v>
      </c>
      <c r="I16" s="121">
        <f t="shared" ref="I16:I28" ca="1" si="5">IF(H16="-","-",H16/$C$5)</f>
        <v>0.38761889204694217</v>
      </c>
      <c r="J16" s="122">
        <f t="shared" ref="J16:J28" ca="1" si="6">IF(I16="-","-",100*I16*$N$11)</f>
        <v>17.582097190034663</v>
      </c>
      <c r="K16" s="11"/>
      <c r="L16" s="123">
        <f t="shared" ref="L16:L28" ca="1" si="7">IF(H16="-","-",H16/$H$48)</f>
        <v>0.10316934227621485</v>
      </c>
    </row>
    <row r="17" spans="1:12" ht="15.75">
      <c r="B17" s="9" t="s">
        <v>174</v>
      </c>
      <c r="C17" s="119">
        <f>'R1-Estruc'!D17</f>
        <v>225</v>
      </c>
      <c r="D17" s="118" t="s">
        <v>121</v>
      </c>
      <c r="E17" s="119">
        <f ca="1">'R1-Estruc'!F17/'R1-Estruc'!$F$57</f>
        <v>0.84766691362474378</v>
      </c>
      <c r="F17" s="120" t="s">
        <v>157</v>
      </c>
      <c r="G17" s="11"/>
      <c r="H17" s="119">
        <f t="shared" ca="1" si="4"/>
        <v>190.72505556556735</v>
      </c>
      <c r="I17" s="121">
        <f t="shared" ca="1" si="5"/>
        <v>0.109907314796895</v>
      </c>
      <c r="J17" s="122">
        <f t="shared" ca="1" si="6"/>
        <v>4.9853119399059675</v>
      </c>
      <c r="K17" s="11"/>
      <c r="L17" s="123">
        <f t="shared" ca="1" si="7"/>
        <v>2.9253128811810723E-2</v>
      </c>
    </row>
    <row r="18" spans="1:12">
      <c r="B18" s="9" t="s">
        <v>188</v>
      </c>
      <c r="C18" s="119">
        <f>'R1-Estruc'!D18</f>
        <v>900</v>
      </c>
      <c r="D18" s="118" t="s">
        <v>121</v>
      </c>
      <c r="E18" s="119">
        <f ca="1">'R1-Estruc'!F18/'R1-Estruc'!$F$57</f>
        <v>0.16041408245433317</v>
      </c>
      <c r="F18" s="120" t="s">
        <v>157</v>
      </c>
      <c r="G18" s="11"/>
      <c r="H18" s="119">
        <f t="shared" ca="1" si="4"/>
        <v>144.37267420889984</v>
      </c>
      <c r="I18" s="121">
        <f t="shared" ca="1" si="5"/>
        <v>8.3196268604007084E-2</v>
      </c>
      <c r="J18" s="122">
        <f t="shared" ca="1" si="6"/>
        <v>3.7737192651248166</v>
      </c>
      <c r="K18" s="11"/>
      <c r="L18" s="123">
        <f t="shared" ca="1" si="7"/>
        <v>2.2143668659656671E-2</v>
      </c>
    </row>
    <row r="19" spans="1:12">
      <c r="B19" s="9" t="s">
        <v>22</v>
      </c>
      <c r="C19" s="119">
        <f>'R1-Estruc'!D19</f>
        <v>2.286</v>
      </c>
      <c r="D19" s="118" t="s">
        <v>81</v>
      </c>
      <c r="E19" s="119">
        <f ca="1">'R1-Estruc'!F19/'R1-Estruc'!$F$57</f>
        <v>57.862272711179614</v>
      </c>
      <c r="F19" s="120" t="s">
        <v>165</v>
      </c>
      <c r="G19" s="11"/>
      <c r="H19" s="119">
        <f t="shared" ca="1" si="4"/>
        <v>132.27315541775661</v>
      </c>
      <c r="I19" s="121">
        <f t="shared" ca="1" si="5"/>
        <v>7.6223793924549157E-2</v>
      </c>
      <c r="J19" s="122">
        <f t="shared" ca="1" si="6"/>
        <v>3.4574531336627858</v>
      </c>
      <c r="K19" s="11"/>
      <c r="L19" s="123">
        <f t="shared" ca="1" si="7"/>
        <v>2.0287862243930883E-2</v>
      </c>
    </row>
    <row r="20" spans="1:12">
      <c r="B20" s="9" t="s">
        <v>274</v>
      </c>
      <c r="C20" s="119">
        <f>'R1-Estruc'!D20</f>
        <v>0.68600000000000005</v>
      </c>
      <c r="D20" s="118" t="s">
        <v>23</v>
      </c>
      <c r="E20" s="119">
        <f ca="1">'R1-Estruc'!F20/'R1-Estruc'!$F$57</f>
        <v>195.07874034931021</v>
      </c>
      <c r="F20" s="120" t="s">
        <v>165</v>
      </c>
      <c r="G20" s="11"/>
      <c r="H20" s="119">
        <f t="shared" ca="1" si="4"/>
        <v>133.82401587962681</v>
      </c>
      <c r="I20" s="121">
        <f t="shared" ca="1" si="5"/>
        <v>7.7117493540907259E-2</v>
      </c>
      <c r="J20" s="122">
        <f t="shared" ca="1" si="6"/>
        <v>3.4979906663679818</v>
      </c>
      <c r="K20" s="11"/>
      <c r="L20" s="123">
        <f t="shared" ca="1" si="7"/>
        <v>2.0525730943067987E-2</v>
      </c>
    </row>
    <row r="21" spans="1:12">
      <c r="B21" s="9" t="s">
        <v>275</v>
      </c>
      <c r="C21" s="119">
        <f>'R1-Estruc'!D21</f>
        <v>2</v>
      </c>
      <c r="D21" s="118" t="s">
        <v>82</v>
      </c>
      <c r="E21" s="119">
        <f ca="1">'R1-Estruc'!F21/'R1-Estruc'!$F$57</f>
        <v>21.814371439642422</v>
      </c>
      <c r="F21" s="120" t="s">
        <v>166</v>
      </c>
      <c r="G21" s="11"/>
      <c r="H21" s="119">
        <f t="shared" ca="1" si="4"/>
        <v>43.628742879284843</v>
      </c>
      <c r="I21" s="121">
        <f t="shared" ca="1" si="5"/>
        <v>2.5141520937598506E-2</v>
      </c>
      <c r="J21" s="122">
        <f t="shared" ca="1" si="6"/>
        <v>1.1404002067489929</v>
      </c>
      <c r="K21" s="11"/>
      <c r="L21" s="123">
        <f t="shared" ca="1" si="7"/>
        <v>6.6917124840282539E-3</v>
      </c>
    </row>
    <row r="22" spans="1:12">
      <c r="B22" s="9" t="s">
        <v>276</v>
      </c>
      <c r="C22" s="119">
        <f>'R1-Estruc'!D22</f>
        <v>0.57099999999999995</v>
      </c>
      <c r="D22" s="118" t="s">
        <v>82</v>
      </c>
      <c r="E22" s="119">
        <f ca="1">'R1-Estruc'!F22/'R1-Estruc'!$F$57</f>
        <v>23.063802787289003</v>
      </c>
      <c r="F22" s="120" t="s">
        <v>166</v>
      </c>
      <c r="G22" s="11"/>
      <c r="H22" s="119">
        <f t="shared" ca="1" si="4"/>
        <v>13.16943139154202</v>
      </c>
      <c r="I22" s="121">
        <f t="shared" ca="1" si="5"/>
        <v>7.5890230434287513E-3</v>
      </c>
      <c r="J22" s="122">
        <f t="shared" ca="1" si="6"/>
        <v>0.34423229482534601</v>
      </c>
      <c r="K22" s="11"/>
      <c r="L22" s="123">
        <f t="shared" ca="1" si="7"/>
        <v>2.0199080384729127E-3</v>
      </c>
    </row>
    <row r="23" spans="1:12">
      <c r="B23" s="9" t="s">
        <v>366</v>
      </c>
      <c r="C23" s="119">
        <f>'R1-Estruc'!D23</f>
        <v>2.613</v>
      </c>
      <c r="D23" s="118"/>
      <c r="E23" s="119">
        <f ca="1">'R1-Estruc'!F23/'R1-Estruc'!$F$57</f>
        <v>16.540012946337281</v>
      </c>
      <c r="F23" s="120"/>
      <c r="G23" s="11"/>
      <c r="H23" s="119">
        <f t="shared" ca="1" si="4"/>
        <v>43.219053828779316</v>
      </c>
      <c r="I23" s="121">
        <f t="shared" ca="1" si="5"/>
        <v>2.4905433322842133E-2</v>
      </c>
      <c r="J23" s="122">
        <f t="shared" ca="1" si="6"/>
        <v>1.1296914526784938</v>
      </c>
      <c r="K23" s="11"/>
      <c r="L23" s="123">
        <f t="shared" ca="1" si="7"/>
        <v>6.62887497937168E-3</v>
      </c>
    </row>
    <row r="24" spans="1:12">
      <c r="B24" s="9" t="s">
        <v>24</v>
      </c>
      <c r="C24" s="119">
        <f>'R1-Estruc'!D24</f>
        <v>6</v>
      </c>
      <c r="D24" s="118" t="s">
        <v>23</v>
      </c>
      <c r="E24" s="119">
        <f ca="1">'R1-Estruc'!F24/'R1-Estruc'!$F$57</f>
        <v>5.8733736423756762</v>
      </c>
      <c r="F24" s="120" t="s">
        <v>165</v>
      </c>
      <c r="G24" s="11"/>
      <c r="H24" s="119">
        <f t="shared" ca="1" si="4"/>
        <v>35.240241854254059</v>
      </c>
      <c r="I24" s="121">
        <f t="shared" ca="1" si="5"/>
        <v>2.0307559190421643E-2</v>
      </c>
      <c r="J24" s="122">
        <f t="shared" ca="1" si="6"/>
        <v>0.92113539020986346</v>
      </c>
      <c r="K24" s="11"/>
      <c r="L24" s="123">
        <f t="shared" ca="1" si="7"/>
        <v>5.4050965210884925E-3</v>
      </c>
    </row>
    <row r="25" spans="1:12">
      <c r="B25" s="9" t="s">
        <v>80</v>
      </c>
      <c r="C25" s="119">
        <f>'R1-Estruc'!D25</f>
        <v>0</v>
      </c>
      <c r="D25" s="118" t="s">
        <v>23</v>
      </c>
      <c r="E25" s="119">
        <f ca="1">'R1-Estruc'!F25/'R1-Estruc'!$F$57</f>
        <v>15.057191295252204</v>
      </c>
      <c r="F25" s="120" t="s">
        <v>165</v>
      </c>
      <c r="G25" s="11"/>
      <c r="H25" s="119">
        <f t="shared" ca="1" si="4"/>
        <v>0</v>
      </c>
      <c r="I25" s="121">
        <f t="shared" ca="1" si="5"/>
        <v>0</v>
      </c>
      <c r="J25" s="122">
        <f t="shared" ca="1" si="6"/>
        <v>0</v>
      </c>
      <c r="K25" s="11"/>
      <c r="L25" s="123">
        <f t="shared" ca="1" si="7"/>
        <v>0</v>
      </c>
    </row>
    <row r="26" spans="1:12">
      <c r="B26" s="9" t="s">
        <v>367</v>
      </c>
      <c r="C26" s="119">
        <f>'R1-Estruc'!D26</f>
        <v>2.3250000000000002</v>
      </c>
      <c r="D26" s="118" t="s">
        <v>23</v>
      </c>
      <c r="E26" s="119">
        <f ca="1">'R1-Estruc'!F26/'R1-Estruc'!$F$57</f>
        <v>11.315186205436699</v>
      </c>
      <c r="F26" s="120" t="s">
        <v>165</v>
      </c>
      <c r="G26" s="11"/>
      <c r="H26" s="119">
        <f t="shared" ca="1" si="4"/>
        <v>26.307807927640329</v>
      </c>
      <c r="I26" s="121">
        <f t="shared" ca="1" si="5"/>
        <v>1.5160150400508887E-2</v>
      </c>
      <c r="J26" s="122">
        <f t="shared" ca="1" si="6"/>
        <v>0.68765285497232753</v>
      </c>
      <c r="K26" s="11"/>
      <c r="L26" s="123">
        <f t="shared" ca="1" si="7"/>
        <v>4.0350529288432696E-3</v>
      </c>
    </row>
    <row r="27" spans="1:12">
      <c r="B27" s="9" t="s">
        <v>117</v>
      </c>
      <c r="C27" s="119">
        <f>'R1-Estruc'!D27</f>
        <v>0</v>
      </c>
      <c r="D27" s="118" t="s">
        <v>23</v>
      </c>
      <c r="E27" s="119">
        <f ca="1">'R1-Estruc'!F27/'R1-Estruc'!$F$57</f>
        <v>0.10111932079854227</v>
      </c>
      <c r="F27" s="120" t="s">
        <v>165</v>
      </c>
      <c r="G27" s="11"/>
      <c r="H27" s="119">
        <f t="shared" ca="1" si="4"/>
        <v>0</v>
      </c>
      <c r="I27" s="121">
        <f t="shared" ca="1" si="5"/>
        <v>0</v>
      </c>
      <c r="J27" s="122">
        <f t="shared" ca="1" si="6"/>
        <v>0</v>
      </c>
      <c r="K27" s="11"/>
      <c r="L27" s="123">
        <f t="shared" ca="1" si="7"/>
        <v>0</v>
      </c>
    </row>
    <row r="28" spans="1:12">
      <c r="B28" s="9" t="s">
        <v>270</v>
      </c>
      <c r="C28" s="119">
        <f>'R1-Estruc'!D28</f>
        <v>1.4</v>
      </c>
      <c r="D28" s="118" t="s">
        <v>27</v>
      </c>
      <c r="E28" s="119">
        <f ca="1">'R1-Estruc'!F28/'R1-Estruc'!$F$57</f>
        <v>22.404324699517311</v>
      </c>
      <c r="F28" s="120" t="s">
        <v>156</v>
      </c>
      <c r="G28" s="11"/>
      <c r="H28" s="119">
        <f t="shared" ca="1" si="4"/>
        <v>31.366054579324231</v>
      </c>
      <c r="I28" s="121">
        <f t="shared" ca="1" si="5"/>
        <v>1.8075018116333684E-2</v>
      </c>
      <c r="J28" s="122">
        <f t="shared" ca="1" si="6"/>
        <v>0.81986903051807314</v>
      </c>
      <c r="K28" s="11"/>
      <c r="L28" s="123">
        <f t="shared" ca="1" si="7"/>
        <v>4.8108793687666315E-3</v>
      </c>
    </row>
    <row r="29" spans="1:12" ht="4.5" customHeight="1" thickBot="1">
      <c r="D29" s="130"/>
      <c r="E29" s="119"/>
      <c r="F29" s="131"/>
      <c r="G29" s="11"/>
      <c r="H29" s="95"/>
      <c r="I29" s="132"/>
      <c r="J29" s="132"/>
      <c r="L29" s="133"/>
    </row>
    <row r="30" spans="1:12" ht="17.100000000000001" customHeight="1" thickBot="1">
      <c r="B30" s="134" t="s">
        <v>167</v>
      </c>
      <c r="C30" s="135"/>
      <c r="D30" s="135"/>
      <c r="E30" s="136"/>
      <c r="F30" s="137"/>
      <c r="G30" s="137"/>
      <c r="H30" s="136">
        <f ca="1">SUM(H10,H14)</f>
        <v>3128.5827625650363</v>
      </c>
      <c r="I30" s="136">
        <f ca="1">SUM(I10,I14)</f>
        <v>1.8028786492352857</v>
      </c>
      <c r="J30" s="138">
        <f ca="1">SUM(J10,J14)</f>
        <v>81.777199932903187</v>
      </c>
      <c r="K30" s="19"/>
      <c r="L30" s="139">
        <f ca="1">SUM(L10,L14)</f>
        <v>0.47985742764805572</v>
      </c>
    </row>
    <row r="31" spans="1:12" ht="4.5" customHeight="1">
      <c r="D31" s="140"/>
      <c r="E31" s="119"/>
      <c r="F31" s="141"/>
      <c r="G31" s="11"/>
      <c r="H31" s="95"/>
      <c r="I31" s="142"/>
      <c r="J31" s="142"/>
      <c r="L31" s="143"/>
    </row>
    <row r="32" spans="1:12">
      <c r="A32" s="111">
        <v>3</v>
      </c>
      <c r="B32" s="111" t="s">
        <v>59</v>
      </c>
      <c r="C32" s="111"/>
      <c r="D32" s="112"/>
      <c r="E32" s="113"/>
      <c r="F32" s="128"/>
      <c r="G32" s="115"/>
      <c r="H32" s="113">
        <f ca="1">SUM(H33)</f>
        <v>2538.3696762179375</v>
      </c>
      <c r="I32" s="114">
        <f ca="1">SUM(I33)</f>
        <v>1.4627621643505977</v>
      </c>
      <c r="J32" s="114">
        <f ca="1">SUM(J33)</f>
        <v>66.349775687411721</v>
      </c>
      <c r="K32" s="115"/>
      <c r="L32" s="116">
        <f ca="1">SUM(L33)</f>
        <v>0.38933141159772883</v>
      </c>
    </row>
    <row r="33" spans="1:13">
      <c r="B33" s="9" t="s">
        <v>168</v>
      </c>
      <c r="C33" s="119">
        <f>$C$5</f>
        <v>1735.3263148865096</v>
      </c>
      <c r="D33" s="118" t="s">
        <v>121</v>
      </c>
      <c r="E33" s="119">
        <f ca="1">FICHA!E9/(FICHA!J6*FICHA!J34)</f>
        <v>1.4627621643505975</v>
      </c>
      <c r="F33" s="120" t="s">
        <v>157</v>
      </c>
      <c r="G33" s="11"/>
      <c r="H33" s="119">
        <f ca="1">IF(OR(C33="-",E33=0),"-",C33*E33)</f>
        <v>2538.3696762179375</v>
      </c>
      <c r="I33" s="121">
        <f ca="1">H33/$C$5</f>
        <v>1.4627621643505977</v>
      </c>
      <c r="J33" s="122">
        <f ca="1">100*I33*$N$11</f>
        <v>66.349775687411721</v>
      </c>
      <c r="K33" s="11"/>
      <c r="L33" s="123">
        <f ca="1">IF(H33="-","-",H33/$H$48)</f>
        <v>0.38933141159772883</v>
      </c>
    </row>
    <row r="34" spans="1:13" ht="6.75" customHeight="1">
      <c r="C34" s="119"/>
      <c r="D34" s="118"/>
      <c r="E34" s="119"/>
      <c r="F34" s="120"/>
      <c r="G34" s="11"/>
      <c r="H34" s="119"/>
      <c r="I34" s="121"/>
      <c r="J34" s="122"/>
      <c r="K34" s="11"/>
      <c r="L34" s="123"/>
    </row>
    <row r="35" spans="1:13">
      <c r="A35" s="111">
        <v>4</v>
      </c>
      <c r="B35" s="111" t="s">
        <v>102</v>
      </c>
      <c r="C35" s="119"/>
      <c r="D35" s="118"/>
      <c r="E35" s="119"/>
      <c r="F35" s="120"/>
      <c r="G35" s="11"/>
      <c r="H35" s="113">
        <f ca="1">SUM(H36:H39)</f>
        <v>101.82416651648946</v>
      </c>
      <c r="I35" s="114">
        <f ca="1">SUM(I36:I39)</f>
        <v>5.8677244529164396E-2</v>
      </c>
      <c r="J35" s="144">
        <f ca="1">SUM(J36:J39)</f>
        <v>2.6615550411053208</v>
      </c>
      <c r="K35" s="115"/>
      <c r="L35" s="116">
        <f ca="1">SUM(L36:L39)</f>
        <v>1.5617641061523368E-2</v>
      </c>
    </row>
    <row r="36" spans="1:13">
      <c r="B36" s="9" t="s">
        <v>169</v>
      </c>
      <c r="C36" s="153">
        <f>SUM(C16:C18)</f>
        <v>1890</v>
      </c>
      <c r="D36" s="118" t="s">
        <v>121</v>
      </c>
      <c r="E36" s="119">
        <f ca="1">FICHA!E18/FICHA!J34</f>
        <v>5.3249834805069979E-2</v>
      </c>
      <c r="F36" s="120" t="s">
        <v>157</v>
      </c>
      <c r="G36" s="11"/>
      <c r="H36" s="119">
        <f ca="1">IF(OR(C36="-",E36=0),"-",C36*E36)</f>
        <v>100.64218778158227</v>
      </c>
      <c r="I36" s="121">
        <f ca="1">H36/$C$5</f>
        <v>5.7996116879126716E-2</v>
      </c>
      <c r="J36" s="122">
        <f ca="1">100*I36*$N$11</f>
        <v>2.6306596106000089</v>
      </c>
      <c r="K36" s="11"/>
      <c r="L36" s="123">
        <f ca="1">IF(H36="-","-",H36/$H$48)</f>
        <v>1.5436350899711489E-2</v>
      </c>
    </row>
    <row r="37" spans="1:13">
      <c r="B37" s="145" t="s">
        <v>25</v>
      </c>
      <c r="C37" s="129">
        <f>C15</f>
        <v>0</v>
      </c>
      <c r="D37" s="118" t="s">
        <v>21</v>
      </c>
      <c r="E37" s="119">
        <f ca="1">FICHA!E19/FICHA!J34</f>
        <v>3.4958819406900141</v>
      </c>
      <c r="F37" s="120" t="s">
        <v>162</v>
      </c>
      <c r="G37" s="11"/>
      <c r="H37" s="119">
        <f ca="1">IF(OR(C37="-",E37=0),"-",C37*E37)</f>
        <v>0</v>
      </c>
      <c r="I37" s="121">
        <f ca="1">H37/$C$5</f>
        <v>0</v>
      </c>
      <c r="J37" s="122">
        <f ca="1">100*I37*$N$11</f>
        <v>0</v>
      </c>
      <c r="K37" s="11"/>
      <c r="L37" s="123">
        <f ca="1">IF(H37="-","-",H37/$H$48)</f>
        <v>0</v>
      </c>
    </row>
    <row r="38" spans="1:13">
      <c r="B38" s="9" t="s">
        <v>170</v>
      </c>
      <c r="C38" s="119">
        <f>$C$5</f>
        <v>1735.3263148865096</v>
      </c>
      <c r="D38" s="118" t="s">
        <v>121</v>
      </c>
      <c r="E38" s="119">
        <f ca="1">FICHA!E17/(FICHA!J6*FICHA!J34)</f>
        <v>6.8112765003767724E-4</v>
      </c>
      <c r="F38" s="120" t="s">
        <v>157</v>
      </c>
      <c r="G38" s="11"/>
      <c r="H38" s="119">
        <f ca="1">IF(OR(C38="-",E38=0),"-",C38*E38)</f>
        <v>1.1819787349071906</v>
      </c>
      <c r="I38" s="121">
        <f ca="1">H38/$C$5</f>
        <v>6.8112765003767724E-4</v>
      </c>
      <c r="J38" s="122">
        <f ca="1">100*I38*$N$11</f>
        <v>3.0895430505312065E-2</v>
      </c>
      <c r="K38" s="11"/>
      <c r="L38" s="123">
        <f ca="1">IF(H38="-","-",H38/$H$48)</f>
        <v>1.8129016181187799E-4</v>
      </c>
    </row>
    <row r="39" spans="1:13" ht="4.5" customHeight="1" thickBot="1">
      <c r="D39" s="130"/>
      <c r="E39" s="11"/>
      <c r="F39" s="131"/>
      <c r="G39" s="11"/>
      <c r="H39" s="95"/>
      <c r="I39" s="132"/>
      <c r="J39" s="132"/>
      <c r="L39" s="133"/>
    </row>
    <row r="40" spans="1:13" ht="17.100000000000001" customHeight="1" thickBot="1">
      <c r="B40" s="134" t="s">
        <v>171</v>
      </c>
      <c r="C40" s="135"/>
      <c r="D40" s="135"/>
      <c r="E40" s="137"/>
      <c r="F40" s="137"/>
      <c r="G40" s="137"/>
      <c r="H40" s="136">
        <f ca="1">SUM(H30,H32,H35)</f>
        <v>5768.776605299463</v>
      </c>
      <c r="I40" s="136">
        <f ca="1">SUM(I30,I32,I35)</f>
        <v>3.3243180581150478</v>
      </c>
      <c r="J40" s="138">
        <f ca="1">SUM(J30,J32,J35)</f>
        <v>150.78853066142022</v>
      </c>
      <c r="K40" s="19"/>
      <c r="L40" s="139">
        <f ca="1">SUM(L30,L32,L35)</f>
        <v>0.88480648030730791</v>
      </c>
    </row>
    <row r="41" spans="1:13" ht="4.5" customHeight="1">
      <c r="E41" s="11"/>
      <c r="F41" s="141"/>
      <c r="G41" s="11"/>
      <c r="H41" s="95"/>
      <c r="I41" s="142"/>
      <c r="J41" s="142"/>
      <c r="L41" s="123"/>
    </row>
    <row r="42" spans="1:13">
      <c r="A42" s="111">
        <v>5</v>
      </c>
      <c r="B42" s="111" t="s">
        <v>60</v>
      </c>
      <c r="C42" s="111"/>
      <c r="D42" s="111"/>
      <c r="E42" s="115"/>
      <c r="F42" s="128"/>
      <c r="G42" s="115"/>
      <c r="H42" s="113">
        <f ca="1">SUM(H43:H46)</f>
        <v>751.04070356096895</v>
      </c>
      <c r="I42" s="114">
        <f ca="1">SUM(I43:I46)</f>
        <v>0.43279508707852848</v>
      </c>
      <c r="J42" s="114">
        <f ca="1">SUM(J43:J46)</f>
        <v>19.631254927230611</v>
      </c>
      <c r="K42" s="115"/>
      <c r="L42" s="116">
        <f ca="1">SUM(L43:L46)</f>
        <v>0.11519351969269209</v>
      </c>
    </row>
    <row r="43" spans="1:13">
      <c r="A43" s="111"/>
      <c r="B43" s="9" t="s">
        <v>172</v>
      </c>
      <c r="C43" s="95"/>
      <c r="D43" s="95"/>
      <c r="E43" s="11"/>
      <c r="F43" s="120" t="s">
        <v>156</v>
      </c>
      <c r="G43" s="11"/>
      <c r="H43" s="119">
        <f ca="1">'R1-Estruc'!I43/FICHA!J34</f>
        <v>382.2092479125368</v>
      </c>
      <c r="I43" s="121">
        <f ca="1">H43/$C$5</f>
        <v>0.22025209013068719</v>
      </c>
      <c r="J43" s="122">
        <f ca="1">100*I43*$N$11</f>
        <v>9.990466755983201</v>
      </c>
      <c r="K43" s="11"/>
      <c r="L43" s="123">
        <f ca="1">IF(H43="-","-",H43/$H$48)</f>
        <v>5.862269290783876E-2</v>
      </c>
    </row>
    <row r="44" spans="1:13">
      <c r="A44" s="111"/>
      <c r="B44" s="9" t="s">
        <v>63</v>
      </c>
      <c r="C44" s="95"/>
      <c r="D44" s="95"/>
      <c r="E44" s="11"/>
      <c r="F44" s="120" t="s">
        <v>156</v>
      </c>
      <c r="G44" s="11"/>
      <c r="H44" s="119">
        <f ca="1">'R1-Estruc'!I44/FICHA!J34</f>
        <v>53.725582261085059</v>
      </c>
      <c r="I44" s="121">
        <f ca="1">H44/$C$5</f>
        <v>3.0959930590690497E-2</v>
      </c>
      <c r="J44" s="122">
        <f ca="1">100*I44*$N$11</f>
        <v>1.4043188291666804</v>
      </c>
      <c r="K44" s="11"/>
      <c r="L44" s="123">
        <f ca="1">IF(H44="-","-",H44/$H$48)</f>
        <v>8.2403508742602324E-3</v>
      </c>
      <c r="M44" s="146"/>
    </row>
    <row r="45" spans="1:13">
      <c r="A45" s="111"/>
      <c r="B45" s="9" t="s">
        <v>61</v>
      </c>
      <c r="C45" s="95"/>
      <c r="D45" s="95"/>
      <c r="E45" s="11"/>
      <c r="F45" s="120" t="s">
        <v>156</v>
      </c>
      <c r="G45" s="11"/>
      <c r="H45" s="119">
        <f ca="1">'R1-Estruc'!I47/FICHA!J34</f>
        <v>209.99300019698242</v>
      </c>
      <c r="I45" s="121">
        <f ca="1">H45/$C$5</f>
        <v>0.12101067009446921</v>
      </c>
      <c r="J45" s="122">
        <f ca="1">100*I45*$N$11</f>
        <v>5.4889516643438423</v>
      </c>
      <c r="K45" s="11"/>
      <c r="L45" s="123">
        <f ca="1">IF(H45="-","-",H45/$H$48)</f>
        <v>3.2208417851156954E-2</v>
      </c>
      <c r="M45" s="146"/>
    </row>
    <row r="46" spans="1:13">
      <c r="A46" s="111"/>
      <c r="B46" s="9" t="s">
        <v>62</v>
      </c>
      <c r="C46" s="95"/>
      <c r="D46" s="95"/>
      <c r="E46" s="11"/>
      <c r="F46" s="120" t="s">
        <v>156</v>
      </c>
      <c r="G46" s="11"/>
      <c r="H46" s="119">
        <f ca="1">'R1-Estruc'!I52/FICHA!J34</f>
        <v>105.11287319036462</v>
      </c>
      <c r="I46" s="121">
        <f ca="1">H46/$C$5</f>
        <v>6.0572396262681585E-2</v>
      </c>
      <c r="J46" s="122">
        <f ca="1">100*I46*$N$11</f>
        <v>2.7475176777368882</v>
      </c>
      <c r="K46" s="11"/>
      <c r="L46" s="123">
        <f ca="1">IF(H46="-","-",H46/$H$48)</f>
        <v>1.6122058059436149E-2</v>
      </c>
      <c r="M46" s="146"/>
    </row>
    <row r="47" spans="1:13" ht="4.5" customHeight="1" thickBot="1">
      <c r="E47" s="11"/>
      <c r="F47" s="131"/>
      <c r="G47" s="11"/>
      <c r="H47" s="95"/>
      <c r="I47" s="127"/>
      <c r="J47" s="127"/>
      <c r="L47" s="133"/>
      <c r="M47" s="146"/>
    </row>
    <row r="48" spans="1:13" ht="17.100000000000001" customHeight="1" thickBot="1">
      <c r="B48" s="147" t="s">
        <v>189</v>
      </c>
      <c r="C48" s="148"/>
      <c r="D48" s="148"/>
      <c r="E48" s="149"/>
      <c r="F48" s="23"/>
      <c r="G48" s="150"/>
      <c r="H48" s="136">
        <f ca="1">SUM(H40:H42)</f>
        <v>6519.8173088604317</v>
      </c>
      <c r="I48" s="136">
        <f ca="1">SUM(I40:I42)</f>
        <v>3.7571131451935762</v>
      </c>
      <c r="J48" s="138">
        <f ca="1">SUM(J40:J42)</f>
        <v>170.41978558865083</v>
      </c>
      <c r="K48" s="19"/>
      <c r="L48" s="139">
        <f ca="1">SUM(L40:L42)</f>
        <v>1</v>
      </c>
    </row>
    <row r="49" spans="2:10" ht="12.95" customHeight="1">
      <c r="B49" s="151" t="s">
        <v>187</v>
      </c>
      <c r="C49" s="58">
        <f ca="1">FICHA!J34</f>
        <v>499.41</v>
      </c>
    </row>
    <row r="50" spans="2:10" ht="11.45" customHeight="1">
      <c r="B50" s="14" t="s">
        <v>130</v>
      </c>
      <c r="J50" s="129"/>
    </row>
    <row r="51" spans="2:10">
      <c r="H51" s="11"/>
    </row>
  </sheetData>
  <sheetProtection algorithmName="SHA-512" hashValue="7FpzJYMNfasrLYGA0y4PGxkecg9cVBfiyEUyB+MmdpVRi7SqXEIWZD+HnbSmG6TWUy6IPOD0oyJ7mKHmoM0Nyg==" saltValue="9XdZu4eqORY6iU33asxDsw==" spinCount="100000" sheet="1" objects="1" scenarios="1"/>
  <phoneticPr fontId="5" type="noConversion"/>
  <conditionalFormatting sqref="C15:C27">
    <cfRule type="cellIs" dxfId="0" priority="1" stopIfTrue="1" operator="equal">
      <formula>"-"</formula>
    </cfRule>
  </conditionalFormatting>
  <printOptions horizontalCentered="1" verticalCentered="1"/>
  <pageMargins left="0.59055118110236227" right="0.59055118110236227" top="0.59055118110236227" bottom="0.59055118110236227" header="0" footer="0"/>
  <pageSetup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33"/>
  <sheetViews>
    <sheetView showGridLines="0" workbookViewId="0">
      <selection activeCell="D7" sqref="D7:D13"/>
    </sheetView>
  </sheetViews>
  <sheetFormatPr baseColWidth="10" defaultColWidth="10.7109375" defaultRowHeight="12.75"/>
  <cols>
    <col min="1" max="1" width="2.140625" customWidth="1"/>
    <col min="2" max="2" width="30.85546875" customWidth="1"/>
    <col min="3" max="3" width="2.42578125" customWidth="1"/>
    <col min="4" max="4" width="14" customWidth="1"/>
    <col min="5" max="5" width="12.7109375" style="15" customWidth="1"/>
    <col min="6" max="6" width="4.5703125" customWidth="1"/>
    <col min="7" max="7" width="14" customWidth="1"/>
    <col min="8" max="8" width="11" style="15" bestFit="1" customWidth="1"/>
    <col min="9" max="9" width="2.5703125" bestFit="1" customWidth="1"/>
  </cols>
  <sheetData>
    <row r="1" spans="2:10" ht="13.5" thickBot="1"/>
    <row r="2" spans="2:10" ht="18.75" thickBot="1">
      <c r="D2" s="236" t="s">
        <v>240</v>
      </c>
      <c r="E2" s="237"/>
    </row>
    <row r="3" spans="2:10" ht="18.75" thickBot="1">
      <c r="D3" s="238" t="s">
        <v>241</v>
      </c>
      <c r="E3" s="239"/>
      <c r="G3" s="245" t="s">
        <v>246</v>
      </c>
      <c r="H3" s="246"/>
    </row>
    <row r="4" spans="2:10" ht="18.75" thickBot="1">
      <c r="D4" s="234">
        <f>FICHA!J5</f>
        <v>40</v>
      </c>
      <c r="E4" s="234" t="s">
        <v>243</v>
      </c>
      <c r="G4" s="247" t="s">
        <v>247</v>
      </c>
      <c r="H4" s="248"/>
    </row>
    <row r="5" spans="2:10" ht="13.5" thickBot="1"/>
    <row r="6" spans="2:10" s="224" customFormat="1" ht="18" customHeight="1" thickBot="1">
      <c r="B6" s="240" t="s">
        <v>233</v>
      </c>
      <c r="D6" s="241" t="s">
        <v>113</v>
      </c>
      <c r="E6" s="242" t="s">
        <v>238</v>
      </c>
      <c r="G6" s="241" t="s">
        <v>113</v>
      </c>
      <c r="H6" s="242" t="s">
        <v>238</v>
      </c>
      <c r="I6" s="224" t="s">
        <v>244</v>
      </c>
      <c r="J6" s="241" t="s">
        <v>245</v>
      </c>
    </row>
    <row r="7" spans="2:10" s="224" customFormat="1" ht="18" customHeight="1">
      <c r="B7" s="224" t="s">
        <v>235</v>
      </c>
      <c r="D7" s="225">
        <f>'R1-Estruc'!I10</f>
        <v>829925.16411142005</v>
      </c>
      <c r="E7" s="226">
        <f ca="1">D7/$D$16</f>
        <v>0.25126889124231183</v>
      </c>
      <c r="G7" s="225">
        <f>D7</f>
        <v>829925.16411142005</v>
      </c>
      <c r="H7" s="226">
        <f ca="1">G7/$G$16</f>
        <v>0.2447551197707423</v>
      </c>
      <c r="J7" s="226">
        <f>(G7-D7)/D7</f>
        <v>0</v>
      </c>
    </row>
    <row r="8" spans="2:10" s="224" customFormat="1" ht="18" customHeight="1">
      <c r="B8" s="228" t="s">
        <v>234</v>
      </c>
      <c r="D8" s="229">
        <f>'R1-Estruc'!I14</f>
        <v>732520.35334118479</v>
      </c>
      <c r="E8" s="230">
        <f t="shared" ref="E8:E16" ca="1" si="0">D8/$D$16</f>
        <v>0.22177852287866698</v>
      </c>
      <c r="G8" s="229">
        <f>SUM(G9:G11)</f>
        <v>820422.79574212711</v>
      </c>
      <c r="H8" s="230">
        <f t="shared" ref="H8:H16" ca="1" si="1">G8/$G$16</f>
        <v>0.24195275467940042</v>
      </c>
      <c r="J8" s="230">
        <f t="shared" ref="J8:J16" si="2">(G8-D8)/D8</f>
        <v>0.1200000000000002</v>
      </c>
    </row>
    <row r="9" spans="2:10" s="224" customFormat="1" ht="18" customHeight="1">
      <c r="B9" s="231" t="s">
        <v>217</v>
      </c>
      <c r="C9" s="227"/>
      <c r="D9" s="232">
        <f>'R1-Estruc'!I15</f>
        <v>0</v>
      </c>
      <c r="E9" s="233">
        <f t="shared" ca="1" si="0"/>
        <v>0</v>
      </c>
      <c r="G9" s="232">
        <f>D9</f>
        <v>0</v>
      </c>
      <c r="H9" s="233">
        <f t="shared" ca="1" si="1"/>
        <v>0</v>
      </c>
      <c r="J9" s="233" t="e">
        <f t="shared" si="2"/>
        <v>#DIV/0!</v>
      </c>
    </row>
    <row r="10" spans="2:10" s="224" customFormat="1" ht="18" customHeight="1">
      <c r="B10" s="231" t="s">
        <v>236</v>
      </c>
      <c r="C10" s="227"/>
      <c r="D10" s="232">
        <f>SUM('R1-Estruc'!I16:I18)</f>
        <v>503276.92827929812</v>
      </c>
      <c r="E10" s="233">
        <f t="shared" ca="1" si="0"/>
        <v>0.15237257673945934</v>
      </c>
      <c r="G10" s="232">
        <f>D10*1.12</f>
        <v>563670.15967281396</v>
      </c>
      <c r="H10" s="233">
        <f t="shared" ca="1" si="1"/>
        <v>0.16623325018662924</v>
      </c>
      <c r="J10" s="233">
        <f t="shared" si="2"/>
        <v>0.12000000000000011</v>
      </c>
    </row>
    <row r="11" spans="2:10" s="224" customFormat="1" ht="18" customHeight="1">
      <c r="B11" s="231" t="s">
        <v>237</v>
      </c>
      <c r="C11" s="227"/>
      <c r="D11" s="232">
        <f>D8-SUM(D9:D10)</f>
        <v>229243.42506188666</v>
      </c>
      <c r="E11" s="233">
        <f t="shared" ca="1" si="0"/>
        <v>6.9405946139207628E-2</v>
      </c>
      <c r="G11" s="232">
        <f>D11*1.12</f>
        <v>256752.6360693131</v>
      </c>
      <c r="H11" s="233">
        <f t="shared" ca="1" si="1"/>
        <v>7.5719504492771178E-2</v>
      </c>
      <c r="J11" s="233">
        <f t="shared" si="2"/>
        <v>0.12000000000000015</v>
      </c>
    </row>
    <row r="12" spans="2:10" s="224" customFormat="1" ht="18" customHeight="1">
      <c r="B12" s="224" t="s">
        <v>209</v>
      </c>
      <c r="D12" s="225">
        <f>'R1-Estruc'!I32</f>
        <v>1267687.2</v>
      </c>
      <c r="E12" s="226">
        <f t="shared" ca="1" si="0"/>
        <v>0.38380612007001047</v>
      </c>
      <c r="G12" s="225">
        <f>D12</f>
        <v>1267687.2</v>
      </c>
      <c r="H12" s="226">
        <f t="shared" ca="1" si="1"/>
        <v>0.37385651849710849</v>
      </c>
      <c r="J12" s="226">
        <f t="shared" si="2"/>
        <v>0</v>
      </c>
    </row>
    <row r="13" spans="2:10" s="224" customFormat="1" ht="18" customHeight="1">
      <c r="B13" s="224" t="s">
        <v>215</v>
      </c>
      <c r="D13" s="225">
        <f>'R1-Estruc'!I35</f>
        <v>97726.433000000005</v>
      </c>
      <c r="E13" s="226">
        <f t="shared" ca="1" si="0"/>
        <v>2.9587743000017541E-2</v>
      </c>
      <c r="G13" s="225">
        <f>D13</f>
        <v>97726.433000000005</v>
      </c>
      <c r="H13" s="226">
        <f t="shared" ca="1" si="1"/>
        <v>2.8820724865346072E-2</v>
      </c>
      <c r="J13" s="226">
        <f t="shared" si="2"/>
        <v>0</v>
      </c>
    </row>
    <row r="14" spans="2:10" s="224" customFormat="1" ht="18" customHeight="1">
      <c r="B14" s="228" t="s">
        <v>248</v>
      </c>
      <c r="D14" s="229">
        <f>SUM(D9:D13,D7)</f>
        <v>2927859.150452605</v>
      </c>
      <c r="E14" s="230">
        <f t="shared" ca="1" si="0"/>
        <v>0.88644127719100685</v>
      </c>
      <c r="G14" s="225"/>
      <c r="H14" s="226"/>
      <c r="J14" s="226"/>
    </row>
    <row r="15" spans="2:10" s="224" customFormat="1" ht="18" customHeight="1" thickBot="1">
      <c r="B15" s="228" t="s">
        <v>219</v>
      </c>
      <c r="D15" s="229">
        <f ca="1">'R1-Estruc'!I42</f>
        <v>375077.2377653835</v>
      </c>
      <c r="E15" s="230">
        <f t="shared" ca="1" si="0"/>
        <v>0.11355872280899314</v>
      </c>
      <c r="G15" s="225">
        <f ca="1">D15</f>
        <v>375077.2377653835</v>
      </c>
      <c r="H15" s="226">
        <f t="shared" ca="1" si="1"/>
        <v>0.11061488218740274</v>
      </c>
      <c r="J15" s="226">
        <f t="shared" ca="1" si="2"/>
        <v>0</v>
      </c>
    </row>
    <row r="16" spans="2:10" s="224" customFormat="1" ht="18" customHeight="1" thickBot="1">
      <c r="B16" s="240" t="s">
        <v>239</v>
      </c>
      <c r="D16" s="243">
        <f ca="1">SUM(D14:D15)</f>
        <v>3302936.3882179884</v>
      </c>
      <c r="E16" s="244">
        <f t="shared" ca="1" si="0"/>
        <v>1</v>
      </c>
      <c r="G16" s="243">
        <f ca="1">SUM(G12:G15,G7:G8)</f>
        <v>3390838.8306189305</v>
      </c>
      <c r="H16" s="244">
        <f t="shared" ca="1" si="1"/>
        <v>1</v>
      </c>
      <c r="J16" s="249">
        <f t="shared" ca="1" si="2"/>
        <v>2.6613422745440009E-2</v>
      </c>
    </row>
    <row r="19" spans="2:10" ht="13.5" thickBot="1"/>
    <row r="20" spans="2:10" ht="18.75" thickBot="1">
      <c r="D20" s="236" t="s">
        <v>242</v>
      </c>
      <c r="E20" s="237"/>
    </row>
    <row r="21" spans="2:10" ht="18.75" thickBot="1">
      <c r="D21" s="238" t="s">
        <v>241</v>
      </c>
      <c r="E21" s="239"/>
      <c r="G21" s="245" t="s">
        <v>246</v>
      </c>
      <c r="H21" s="246"/>
    </row>
    <row r="22" spans="2:10" ht="18.75" thickBot="1">
      <c r="D22" s="235">
        <v>45</v>
      </c>
      <c r="E22" s="234" t="s">
        <v>243</v>
      </c>
      <c r="G22" s="247" t="s">
        <v>247</v>
      </c>
      <c r="H22" s="248"/>
    </row>
    <row r="23" spans="2:10" ht="13.5" thickBot="1"/>
    <row r="24" spans="2:10" ht="18.75" thickBot="1">
      <c r="B24" s="240" t="s">
        <v>233</v>
      </c>
      <c r="D24" s="241" t="s">
        <v>113</v>
      </c>
      <c r="E24" s="242" t="s">
        <v>238</v>
      </c>
      <c r="F24" s="224"/>
      <c r="G24" s="241" t="s">
        <v>113</v>
      </c>
      <c r="H24" s="242" t="s">
        <v>238</v>
      </c>
      <c r="I24" s="224" t="s">
        <v>244</v>
      </c>
      <c r="J24" s="241" t="s">
        <v>245</v>
      </c>
    </row>
    <row r="25" spans="2:10" ht="18">
      <c r="B25" s="224" t="s">
        <v>235</v>
      </c>
      <c r="D25" s="225">
        <v>506624.62265996082</v>
      </c>
      <c r="E25" s="226">
        <f t="shared" ref="E25:E33" si="3">D25/$D$33</f>
        <v>0.21849214697557914</v>
      </c>
      <c r="G25" s="225">
        <f>D25</f>
        <v>506624.62265996082</v>
      </c>
      <c r="H25" s="226">
        <f>G25/$G$33</f>
        <v>0.21394519216211305</v>
      </c>
      <c r="I25" s="224"/>
      <c r="J25" s="226">
        <f>(G25-D25)/D25</f>
        <v>0</v>
      </c>
    </row>
    <row r="26" spans="2:10" ht="18">
      <c r="B26" s="228" t="s">
        <v>234</v>
      </c>
      <c r="D26" s="229">
        <v>444459.60229999997</v>
      </c>
      <c r="E26" s="230">
        <f t="shared" si="3"/>
        <v>0.19168222073489413</v>
      </c>
      <c r="G26" s="229">
        <f>SUM(G27:G29)</f>
        <v>493739.36048000003</v>
      </c>
      <c r="H26" s="230">
        <f t="shared" ref="H26:H33" si="4">G26/$G$33</f>
        <v>0.20850380662763776</v>
      </c>
      <c r="I26" s="224"/>
      <c r="J26" s="230">
        <f t="shared" ref="J26:J33" si="5">(G26-D26)/D26</f>
        <v>0.11087567447071908</v>
      </c>
    </row>
    <row r="27" spans="2:10" ht="18">
      <c r="B27" s="231" t="s">
        <v>217</v>
      </c>
      <c r="D27" s="232">
        <v>33794.950799999999</v>
      </c>
      <c r="E27" s="233">
        <f t="shared" si="3"/>
        <v>1.4574758168005693E-2</v>
      </c>
      <c r="G27" s="232">
        <f>D27</f>
        <v>33794.950799999999</v>
      </c>
      <c r="H27" s="233">
        <f t="shared" si="4"/>
        <v>1.4271448562949155E-2</v>
      </c>
      <c r="I27" s="224"/>
      <c r="J27" s="233">
        <f t="shared" si="5"/>
        <v>0</v>
      </c>
    </row>
    <row r="28" spans="2:10" ht="18">
      <c r="B28" s="231" t="s">
        <v>236</v>
      </c>
      <c r="D28" s="232">
        <v>303584.25</v>
      </c>
      <c r="E28" s="233">
        <f t="shared" si="3"/>
        <v>0.13092686696159897</v>
      </c>
      <c r="G28" s="232">
        <f>D28*1.12</f>
        <v>340014.36000000004</v>
      </c>
      <c r="H28" s="233">
        <f t="shared" si="4"/>
        <v>0.14358646290451405</v>
      </c>
      <c r="I28" s="224"/>
      <c r="J28" s="233">
        <f t="shared" si="5"/>
        <v>0.12000000000000015</v>
      </c>
    </row>
    <row r="29" spans="2:10" ht="18">
      <c r="B29" s="231" t="s">
        <v>237</v>
      </c>
      <c r="D29" s="232">
        <v>107080.40149999998</v>
      </c>
      <c r="E29" s="233">
        <f t="shared" si="3"/>
        <v>4.6180595605289469E-2</v>
      </c>
      <c r="G29" s="232">
        <f>D29*1.12</f>
        <v>119930.04967999998</v>
      </c>
      <c r="H29" s="233">
        <f t="shared" si="4"/>
        <v>5.0645895160174537E-2</v>
      </c>
      <c r="I29" s="224"/>
      <c r="J29" s="233">
        <f t="shared" si="5"/>
        <v>0.12000000000000006</v>
      </c>
    </row>
    <row r="30" spans="2:10" ht="18">
      <c r="B30" s="224" t="s">
        <v>209</v>
      </c>
      <c r="D30" s="225">
        <v>1031951.7</v>
      </c>
      <c r="E30" s="226">
        <f t="shared" si="3"/>
        <v>0.4450501069693038</v>
      </c>
      <c r="G30" s="225">
        <f>D30</f>
        <v>1031951.7</v>
      </c>
      <c r="H30" s="226">
        <f t="shared" si="4"/>
        <v>0.43578834285499057</v>
      </c>
      <c r="I30" s="224"/>
      <c r="J30" s="226">
        <f t="shared" si="5"/>
        <v>0</v>
      </c>
    </row>
    <row r="31" spans="2:10" ht="18">
      <c r="B31" s="224" t="s">
        <v>215</v>
      </c>
      <c r="D31" s="225">
        <v>89232.450000000012</v>
      </c>
      <c r="E31" s="226">
        <f t="shared" si="3"/>
        <v>3.8483304419802848E-2</v>
      </c>
      <c r="G31" s="225">
        <f>D31</f>
        <v>89232.450000000012</v>
      </c>
      <c r="H31" s="226">
        <f t="shared" si="4"/>
        <v>3.7682443387990747E-2</v>
      </c>
      <c r="I31" s="224"/>
      <c r="J31" s="226">
        <f t="shared" si="5"/>
        <v>0</v>
      </c>
    </row>
    <row r="32" spans="2:10" ht="18.75" thickBot="1">
      <c r="B32" s="224" t="s">
        <v>219</v>
      </c>
      <c r="D32" s="225">
        <v>246463.12030328202</v>
      </c>
      <c r="E32" s="226">
        <f t="shared" si="3"/>
        <v>0.10629222090042012</v>
      </c>
      <c r="G32" s="225">
        <f>D32</f>
        <v>246463.12030328202</v>
      </c>
      <c r="H32" s="226">
        <f t="shared" si="4"/>
        <v>0.10408021496726781</v>
      </c>
      <c r="I32" s="224"/>
      <c r="J32" s="226">
        <f t="shared" si="5"/>
        <v>0</v>
      </c>
    </row>
    <row r="33" spans="2:10" ht="18.75" thickBot="1">
      <c r="B33" s="240" t="s">
        <v>239</v>
      </c>
      <c r="D33" s="243">
        <f>SUM(D30:D32,D25:D26)</f>
        <v>2318731.4952632426</v>
      </c>
      <c r="E33" s="244">
        <f t="shared" si="3"/>
        <v>1</v>
      </c>
      <c r="F33" s="224"/>
      <c r="G33" s="243">
        <f>SUM(G30:G32,G25:G26)</f>
        <v>2368011.253443243</v>
      </c>
      <c r="H33" s="244">
        <f t="shared" si="4"/>
        <v>1</v>
      </c>
      <c r="I33" s="224"/>
      <c r="J33" s="249">
        <f t="shared" si="5"/>
        <v>2.1252895508026764E-2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EB0F-1B11-4EC3-BC94-4BC5DAD79372}">
  <sheetPr>
    <tabColor rgb="FF4D4B34"/>
  </sheetPr>
  <dimension ref="B1:AI139"/>
  <sheetViews>
    <sheetView topLeftCell="N1" zoomScale="106" zoomScaleNormal="106" workbookViewId="0">
      <pane ySplit="5" topLeftCell="A12" activePane="bottomLeft" state="frozen"/>
      <selection activeCell="F1" sqref="F1"/>
      <selection pane="bottomLeft" activeCell="AF33" sqref="AF33:AF34"/>
    </sheetView>
  </sheetViews>
  <sheetFormatPr baseColWidth="10" defaultColWidth="10.7109375" defaultRowHeight="12"/>
  <cols>
    <col min="1" max="1" width="2.28515625" style="604" customWidth="1"/>
    <col min="2" max="2" width="20.85546875" style="604" customWidth="1"/>
    <col min="3" max="3" width="10.7109375" style="605"/>
    <col min="4" max="4" width="2.28515625" style="604" customWidth="1"/>
    <col min="5" max="24" width="10.140625" style="604" customWidth="1"/>
    <col min="25" max="25" width="4.28515625" style="604" customWidth="1"/>
    <col min="26" max="26" width="4.5703125" style="604" customWidth="1"/>
    <col min="27" max="27" width="2.5703125" style="604" customWidth="1"/>
    <col min="28" max="28" width="22.140625" style="604" customWidth="1"/>
    <col min="29" max="29" width="10.28515625" style="604" customWidth="1"/>
    <col min="30" max="30" width="12.42578125" style="604" customWidth="1"/>
    <col min="31" max="31" width="4" style="604" customWidth="1"/>
    <col min="32" max="32" width="12.42578125" style="604" customWidth="1"/>
    <col min="33" max="33" width="2.28515625" style="604" customWidth="1"/>
    <col min="34" max="34" width="6.28515625" style="604" customWidth="1"/>
    <col min="35" max="35" width="11.85546875" style="604" customWidth="1"/>
    <col min="36" max="16384" width="10.7109375" style="604"/>
  </cols>
  <sheetData>
    <row r="1" spans="2:35" ht="23.1" customHeight="1">
      <c r="E1" s="612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Z1" s="754">
        <v>2</v>
      </c>
      <c r="AB1" s="741" t="str">
        <f>IF(Z1=1,"ESTÁNDAR","SIMULANDO")</f>
        <v>SIMULANDO</v>
      </c>
    </row>
    <row r="2" spans="2:35" ht="6.75" customHeight="1"/>
    <row r="3" spans="2:35" ht="23.1" customHeight="1">
      <c r="B3" s="606" t="s">
        <v>445</v>
      </c>
      <c r="AB3" s="607" t="s">
        <v>446</v>
      </c>
      <c r="AC3" s="607"/>
      <c r="AD3" s="732">
        <v>2025</v>
      </c>
      <c r="AF3" s="607">
        <v>2026</v>
      </c>
    </row>
    <row r="4" spans="2:35" ht="12.75" thickBot="1"/>
    <row r="5" spans="2:35" ht="15.95" customHeight="1" thickTop="1">
      <c r="B5" s="608" t="s">
        <v>447</v>
      </c>
      <c r="C5" s="609" t="s">
        <v>448</v>
      </c>
      <c r="E5" s="609" t="s">
        <v>449</v>
      </c>
      <c r="F5" s="609" t="str">
        <f t="shared" ref="F5:V5" si="0">_xlfn.CONCAT(MID(E5,1,4)+1,"-",MID(MID(E5,1,4)+2,3,2))</f>
        <v>2007-08</v>
      </c>
      <c r="G5" s="609" t="str">
        <f t="shared" si="0"/>
        <v>2008-09</v>
      </c>
      <c r="H5" s="609" t="str">
        <f t="shared" si="0"/>
        <v>2009-10</v>
      </c>
      <c r="I5" s="609" t="str">
        <f t="shared" si="0"/>
        <v>2010-11</v>
      </c>
      <c r="J5" s="609" t="str">
        <f t="shared" si="0"/>
        <v>2011-12</v>
      </c>
      <c r="K5" s="609" t="str">
        <f t="shared" si="0"/>
        <v>2012-13</v>
      </c>
      <c r="L5" s="609" t="str">
        <f t="shared" si="0"/>
        <v>2013-14</v>
      </c>
      <c r="M5" s="609" t="str">
        <f t="shared" si="0"/>
        <v>2014-15</v>
      </c>
      <c r="N5" s="609" t="str">
        <f t="shared" si="0"/>
        <v>2015-16</v>
      </c>
      <c r="O5" s="609" t="str">
        <f t="shared" si="0"/>
        <v>2016-17</v>
      </c>
      <c r="P5" s="609" t="str">
        <f t="shared" si="0"/>
        <v>2017-18</v>
      </c>
      <c r="Q5" s="609" t="str">
        <f t="shared" si="0"/>
        <v>2018-19</v>
      </c>
      <c r="R5" s="609" t="str">
        <f t="shared" si="0"/>
        <v>2019-20</v>
      </c>
      <c r="S5" s="609" t="str">
        <f t="shared" si="0"/>
        <v>2020-21</v>
      </c>
      <c r="T5" s="609" t="str">
        <f t="shared" si="0"/>
        <v>2021-22</v>
      </c>
      <c r="U5" s="609" t="str">
        <f t="shared" si="0"/>
        <v>2022-23</v>
      </c>
      <c r="V5" s="609" t="str">
        <f t="shared" si="0"/>
        <v>2023-24</v>
      </c>
      <c r="W5" s="609" t="str">
        <f t="shared" ref="W5" si="1">_xlfn.CONCAT(MID(V5,1,4)+1,"-",MID(MID(V5,1,4)+2,3,2))</f>
        <v>2024-25</v>
      </c>
      <c r="X5" s="609" t="str">
        <f t="shared" ref="X5" si="2">_xlfn.CONCAT(MID(W5,1,4)+1,"-",MID(MID(W5,1,4)+2,3,2))</f>
        <v>2025-26</v>
      </c>
      <c r="Z5" s="610"/>
      <c r="AB5" s="608" t="s">
        <v>447</v>
      </c>
      <c r="AC5" s="609" t="s">
        <v>448</v>
      </c>
      <c r="AD5" s="609" t="str">
        <f>_xlfn.CONCAT(AD3,"-",MID(AD3+1,3,2))</f>
        <v>2025-26</v>
      </c>
      <c r="AF5" s="733" t="str">
        <f>IF(Z1=1,"Estándar",_xlfn.CONCAT(AF3,"-",MID(AF3+1,3,2)))</f>
        <v>2026-27</v>
      </c>
    </row>
    <row r="6" spans="2:35" ht="12.75" thickBot="1">
      <c r="Z6" s="611"/>
      <c r="AC6" s="605"/>
    </row>
    <row r="7" spans="2:35" ht="12.75" thickBot="1">
      <c r="B7" s="604" t="s">
        <v>450</v>
      </c>
      <c r="C7" s="605" t="s">
        <v>148</v>
      </c>
      <c r="E7" s="612">
        <v>658.98472915152479</v>
      </c>
      <c r="F7" s="612">
        <v>733.17556660578362</v>
      </c>
      <c r="G7" s="612">
        <v>788.38112271731063</v>
      </c>
      <c r="H7" s="612">
        <v>896.04276737376335</v>
      </c>
      <c r="I7" s="612">
        <v>972.66714968564997</v>
      </c>
      <c r="J7" s="612">
        <v>1045.5056227675379</v>
      </c>
      <c r="K7" s="612">
        <v>1208.6677439154723</v>
      </c>
      <c r="L7" s="612">
        <v>1150.9642072269078</v>
      </c>
      <c r="M7" s="612">
        <v>1219.1903186822487</v>
      </c>
      <c r="N7" s="612">
        <v>1246.5590160853467</v>
      </c>
      <c r="O7" s="612">
        <v>1276.6204667475024</v>
      </c>
      <c r="P7" s="612">
        <v>1316.4949234146629</v>
      </c>
      <c r="Q7" s="612">
        <v>1327.3561442705666</v>
      </c>
      <c r="R7" s="612">
        <v>1363.2434812544118</v>
      </c>
      <c r="S7" s="612">
        <v>1361.5348317740584</v>
      </c>
      <c r="T7" s="612">
        <v>1439.4773521790316</v>
      </c>
      <c r="U7" s="612">
        <v>1516.2068201953307</v>
      </c>
      <c r="V7" s="612">
        <v>1572.9800744774234</v>
      </c>
      <c r="W7" s="612">
        <v>1610.6949125505146</v>
      </c>
      <c r="X7" s="612">
        <v>1627.2112058787425</v>
      </c>
      <c r="Z7" s="611"/>
      <c r="AB7" s="604" t="s">
        <v>450</v>
      </c>
      <c r="AC7" s="605" t="s">
        <v>148</v>
      </c>
      <c r="AD7" s="612">
        <f>ROUND(LOOKUP(MID($AD$3,1,4),$E$134:$Y$134,E7:Y7),2)</f>
        <v>1627.21</v>
      </c>
      <c r="AF7" s="734">
        <f>X7*(1+POWER((X7/Q7),(1/(COUNT(Q7:X7)-1)))-1)</f>
        <v>1675.253615112352</v>
      </c>
      <c r="AH7" s="736" t="s">
        <v>342</v>
      </c>
      <c r="AI7" s="613" t="s">
        <v>451</v>
      </c>
    </row>
    <row r="8" spans="2:35" ht="12.75" thickBot="1">
      <c r="B8" s="604" t="s">
        <v>452</v>
      </c>
      <c r="C8" s="605" t="s">
        <v>0</v>
      </c>
      <c r="E8" s="614">
        <f>SUM(E11,E14,E19,E23,E26)</f>
        <v>0.43336666666666668</v>
      </c>
      <c r="F8" s="614">
        <f t="shared" ref="F8:U8" si="3">SUM(F11,F14,F19,F23,F26)</f>
        <v>0.43086666666666668</v>
      </c>
      <c r="G8" s="614">
        <f t="shared" si="3"/>
        <v>0.43315833333333331</v>
      </c>
      <c r="H8" s="614">
        <f t="shared" si="3"/>
        <v>0.43679166666666669</v>
      </c>
      <c r="I8" s="614">
        <f t="shared" si="3"/>
        <v>0.44206666666666666</v>
      </c>
      <c r="J8" s="614">
        <f t="shared" si="3"/>
        <v>0.44766666666666666</v>
      </c>
      <c r="K8" s="614">
        <f t="shared" si="3"/>
        <v>0.44766666666666666</v>
      </c>
      <c r="L8" s="614">
        <f t="shared" si="3"/>
        <v>0.44766666666666666</v>
      </c>
      <c r="M8" s="614">
        <f t="shared" si="3"/>
        <v>0.44806666666666667</v>
      </c>
      <c r="N8" s="614">
        <f t="shared" si="3"/>
        <v>0.44716666666666666</v>
      </c>
      <c r="O8" s="614">
        <f t="shared" si="3"/>
        <v>0.44636666666666663</v>
      </c>
      <c r="P8" s="614">
        <f t="shared" si="3"/>
        <v>0.44606666666666661</v>
      </c>
      <c r="Q8" s="614">
        <f t="shared" si="3"/>
        <v>0.44606666666666661</v>
      </c>
      <c r="R8" s="614">
        <f t="shared" si="3"/>
        <v>0.44606666666666661</v>
      </c>
      <c r="S8" s="614">
        <f t="shared" si="3"/>
        <v>0.44776666666666665</v>
      </c>
      <c r="T8" s="614">
        <f t="shared" si="3"/>
        <v>0.44776666666666665</v>
      </c>
      <c r="U8" s="614">
        <f t="shared" si="3"/>
        <v>0.44776666666666665</v>
      </c>
      <c r="V8" s="614">
        <f t="shared" ref="V8:X8" si="4">SUM(V11,V14,V19,V23,V26)</f>
        <v>0.44946666666666668</v>
      </c>
      <c r="W8" s="614">
        <f t="shared" ref="W8" si="5">SUM(W11,W14,W19,W23,W26)</f>
        <v>0.44946666666666668</v>
      </c>
      <c r="X8" s="614">
        <f t="shared" si="4"/>
        <v>0.4506</v>
      </c>
      <c r="Z8" s="611"/>
      <c r="AB8" s="604" t="s">
        <v>452</v>
      </c>
      <c r="AC8" s="605" t="s">
        <v>0</v>
      </c>
      <c r="AD8" s="614">
        <f>ROUND(LOOKUP(MID($AD$3,1,4),$E$134:$Y$134,E8:Y8),4)</f>
        <v>0.4506</v>
      </c>
      <c r="AF8" s="735">
        <v>0.45450000000000002</v>
      </c>
      <c r="AH8" s="736" t="s">
        <v>342</v>
      </c>
      <c r="AI8" s="613" t="s">
        <v>453</v>
      </c>
    </row>
    <row r="9" spans="2:35" hidden="1">
      <c r="B9" s="604" t="s">
        <v>454</v>
      </c>
      <c r="C9" s="605" t="s">
        <v>0</v>
      </c>
      <c r="E9" s="614">
        <f>F9*(E8/F8)</f>
        <v>0.1993246894972813</v>
      </c>
      <c r="F9" s="614">
        <f>G9*(F8/G8)</f>
        <v>0.19817482781646473</v>
      </c>
      <c r="G9" s="614">
        <f>H9*(G8/H8)</f>
        <v>0.19922886769054657</v>
      </c>
      <c r="H9" s="614">
        <v>0.2009</v>
      </c>
      <c r="I9" s="614">
        <f t="shared" ref="I9:T9" si="6">H9*(I8/H8)</f>
        <v>0.20332620814652294</v>
      </c>
      <c r="J9" s="614">
        <f t="shared" si="6"/>
        <v>0.20590189831155206</v>
      </c>
      <c r="K9" s="614">
        <f t="shared" si="6"/>
        <v>0.20590189831155206</v>
      </c>
      <c r="L9" s="614">
        <f t="shared" si="6"/>
        <v>0.20590189831155206</v>
      </c>
      <c r="M9" s="614">
        <f t="shared" si="6"/>
        <v>0.20608587618048274</v>
      </c>
      <c r="N9" s="614">
        <f t="shared" si="6"/>
        <v>0.20567192597538878</v>
      </c>
      <c r="O9" s="614">
        <f t="shared" si="6"/>
        <v>0.20530397023752747</v>
      </c>
      <c r="P9" s="614">
        <f t="shared" si="6"/>
        <v>0.20516598683582946</v>
      </c>
      <c r="Q9" s="614">
        <f t="shared" si="6"/>
        <v>0.20516598683582946</v>
      </c>
      <c r="R9" s="614">
        <f t="shared" si="6"/>
        <v>0.20516598683582946</v>
      </c>
      <c r="S9" s="614">
        <f t="shared" si="6"/>
        <v>0.20594789277878472</v>
      </c>
      <c r="T9" s="614">
        <f t="shared" si="6"/>
        <v>0.20594789277878472</v>
      </c>
      <c r="U9" s="614">
        <f>T9*(U8/T8)</f>
        <v>0.20594789277878472</v>
      </c>
      <c r="V9" s="614">
        <f>U9*(V8/U8)</f>
        <v>0.20672979872174002</v>
      </c>
      <c r="W9" s="614">
        <f>U9*(W8/U8)</f>
        <v>0.20672979872174002</v>
      </c>
      <c r="X9" s="614">
        <f>V9*(X8/V8)</f>
        <v>0.20725106935037688</v>
      </c>
      <c r="Z9" s="611"/>
      <c r="AB9" s="604" t="s">
        <v>454</v>
      </c>
      <c r="AC9" s="605" t="s">
        <v>0</v>
      </c>
      <c r="AD9" s="615">
        <f>ROUND(LOOKUP(MID($AD$3,1,4),$E$134:$Y$134,E9:Y9),4)</f>
        <v>0.20730000000000001</v>
      </c>
      <c r="AF9" s="615">
        <f>ROUND(V9*(AF8/V8),4)</f>
        <v>0.20899999999999999</v>
      </c>
    </row>
    <row r="10" spans="2:35">
      <c r="Z10" s="611"/>
      <c r="AC10" s="605"/>
    </row>
    <row r="11" spans="2:35" s="616" customFormat="1">
      <c r="B11" s="616" t="s">
        <v>455</v>
      </c>
      <c r="C11" s="617" t="s">
        <v>0</v>
      </c>
      <c r="E11" s="618">
        <f>SUM(E12:E13)</f>
        <v>0.14000000000000001</v>
      </c>
      <c r="F11" s="618">
        <f t="shared" ref="F11:V11" si="7">SUM(F12:F13)</f>
        <v>0.14000000000000001</v>
      </c>
      <c r="G11" s="618">
        <f t="shared" si="7"/>
        <v>0.14000000000000001</v>
      </c>
      <c r="H11" s="618">
        <f t="shared" si="7"/>
        <v>0.14042499999999999</v>
      </c>
      <c r="I11" s="618">
        <f t="shared" si="7"/>
        <v>0.14169999999999999</v>
      </c>
      <c r="J11" s="618">
        <f t="shared" si="7"/>
        <v>0.14169999999999999</v>
      </c>
      <c r="K11" s="618">
        <f t="shared" si="7"/>
        <v>0.14169999999999999</v>
      </c>
      <c r="L11" s="618">
        <f t="shared" si="7"/>
        <v>0.14169999999999999</v>
      </c>
      <c r="M11" s="618">
        <f t="shared" si="7"/>
        <v>0.1421</v>
      </c>
      <c r="N11" s="618">
        <f t="shared" si="7"/>
        <v>0.14329999999999998</v>
      </c>
      <c r="O11" s="618">
        <f t="shared" si="7"/>
        <v>0.14329999999999998</v>
      </c>
      <c r="P11" s="618">
        <f t="shared" si="7"/>
        <v>0.14329999999999998</v>
      </c>
      <c r="Q11" s="618">
        <f t="shared" si="7"/>
        <v>0.14329999999999998</v>
      </c>
      <c r="R11" s="618">
        <f t="shared" si="7"/>
        <v>0.14329999999999998</v>
      </c>
      <c r="S11" s="618">
        <f t="shared" si="7"/>
        <v>0.14499999999999999</v>
      </c>
      <c r="T11" s="618">
        <f t="shared" si="7"/>
        <v>0.14499999999999999</v>
      </c>
      <c r="U11" s="618">
        <f t="shared" si="7"/>
        <v>0.14499999999999999</v>
      </c>
      <c r="V11" s="618">
        <f t="shared" si="7"/>
        <v>0.1467</v>
      </c>
      <c r="W11" s="618">
        <f t="shared" ref="W11:X11" si="8">SUM(W12:W13)</f>
        <v>0.1467</v>
      </c>
      <c r="X11" s="618">
        <f t="shared" si="8"/>
        <v>0.1467</v>
      </c>
      <c r="Z11" s="619"/>
      <c r="AB11" s="616" t="s">
        <v>455</v>
      </c>
      <c r="AC11" s="617" t="s">
        <v>0</v>
      </c>
      <c r="AD11" s="618">
        <f>SUM(AD12:AD13)</f>
        <v>0.1467</v>
      </c>
      <c r="AF11" s="605" t="s">
        <v>27</v>
      </c>
    </row>
    <row r="12" spans="2:35">
      <c r="B12" s="604" t="s">
        <v>456</v>
      </c>
      <c r="C12" s="605" t="s">
        <v>0</v>
      </c>
      <c r="E12" s="615">
        <v>9.2500000000000013E-2</v>
      </c>
      <c r="F12" s="615">
        <v>9.2499999999999999E-2</v>
      </c>
      <c r="G12" s="615">
        <v>9.2499999999999999E-2</v>
      </c>
      <c r="H12" s="615">
        <v>9.2499999999999999E-2</v>
      </c>
      <c r="I12" s="615">
        <v>9.2499999999999999E-2</v>
      </c>
      <c r="J12" s="615">
        <v>9.2499999999999999E-2</v>
      </c>
      <c r="K12" s="615">
        <v>9.2499999999999999E-2</v>
      </c>
      <c r="L12" s="615">
        <v>9.2499999999999999E-2</v>
      </c>
      <c r="M12" s="615">
        <v>9.2499999999999999E-2</v>
      </c>
      <c r="N12" s="615">
        <v>9.2499999999999999E-2</v>
      </c>
      <c r="O12" s="615">
        <v>9.2499999999999999E-2</v>
      </c>
      <c r="P12" s="615">
        <v>9.2499999999999999E-2</v>
      </c>
      <c r="Q12" s="615">
        <v>9.2499999999999999E-2</v>
      </c>
      <c r="R12" s="615">
        <v>9.2499999999999999E-2</v>
      </c>
      <c r="S12" s="615">
        <v>9.2499999999999999E-2</v>
      </c>
      <c r="T12" s="787">
        <v>9.2499999999999999E-2</v>
      </c>
      <c r="U12" s="787">
        <v>9.2499999999999999E-2</v>
      </c>
      <c r="V12" s="787">
        <v>9.2499999999999999E-2</v>
      </c>
      <c r="W12" s="787">
        <v>9.2499999999999999E-2</v>
      </c>
      <c r="X12" s="787">
        <v>9.2499999999999999E-2</v>
      </c>
      <c r="Z12" s="611"/>
      <c r="AB12" s="604" t="s">
        <v>456</v>
      </c>
      <c r="AC12" s="605" t="s">
        <v>0</v>
      </c>
      <c r="AD12" s="615">
        <f t="shared" ref="AD12:AD13" si="9">ROUND(LOOKUP(MID($AD$3,1,4),$E$134:$Y$134,E12:Y12),4)</f>
        <v>9.2499999999999999E-2</v>
      </c>
      <c r="AF12" s="605" t="s">
        <v>27</v>
      </c>
    </row>
    <row r="13" spans="2:35">
      <c r="B13" s="604" t="s">
        <v>457</v>
      </c>
      <c r="C13" s="605" t="s">
        <v>0</v>
      </c>
      <c r="E13" s="615">
        <v>4.7499999999999994E-2</v>
      </c>
      <c r="F13" s="615">
        <v>4.7500000000000001E-2</v>
      </c>
      <c r="G13" s="615">
        <v>4.7500000000000001E-2</v>
      </c>
      <c r="H13" s="615">
        <v>4.7924999999999995E-2</v>
      </c>
      <c r="I13" s="615">
        <v>4.9200000000000001E-2</v>
      </c>
      <c r="J13" s="615">
        <v>4.9200000000000001E-2</v>
      </c>
      <c r="K13" s="615">
        <v>4.9200000000000001E-2</v>
      </c>
      <c r="L13" s="615">
        <v>4.9200000000000001E-2</v>
      </c>
      <c r="M13" s="615">
        <v>4.9599999999999998E-2</v>
      </c>
      <c r="N13" s="615">
        <v>5.0799999999999998E-2</v>
      </c>
      <c r="O13" s="615">
        <v>5.0799999999999998E-2</v>
      </c>
      <c r="P13" s="615">
        <v>5.0799999999999998E-2</v>
      </c>
      <c r="Q13" s="615">
        <v>5.0799999999999998E-2</v>
      </c>
      <c r="R13" s="615">
        <v>5.0799999999999998E-2</v>
      </c>
      <c r="S13" s="615">
        <v>5.2499999999999998E-2</v>
      </c>
      <c r="T13" s="787">
        <v>5.2499999999999998E-2</v>
      </c>
      <c r="U13" s="787">
        <v>5.2499999999999998E-2</v>
      </c>
      <c r="V13" s="787">
        <v>5.4199999999999998E-2</v>
      </c>
      <c r="W13" s="787">
        <v>5.4199999999999998E-2</v>
      </c>
      <c r="X13" s="787">
        <v>5.4199999999999998E-2</v>
      </c>
      <c r="Z13" s="611"/>
      <c r="AB13" s="604" t="s">
        <v>457</v>
      </c>
      <c r="AC13" s="605" t="s">
        <v>0</v>
      </c>
      <c r="AD13" s="615">
        <f t="shared" si="9"/>
        <v>5.4199999999999998E-2</v>
      </c>
      <c r="AF13" s="605" t="s">
        <v>27</v>
      </c>
    </row>
    <row r="14" spans="2:35" s="616" customFormat="1">
      <c r="B14" s="616" t="s">
        <v>458</v>
      </c>
      <c r="C14" s="617" t="s">
        <v>0</v>
      </c>
      <c r="E14" s="618">
        <f>SUM(E15:E18)</f>
        <v>7.4999999999999983E-2</v>
      </c>
      <c r="F14" s="618">
        <f t="shared" ref="F14:V14" si="10">SUM(F15:F18)</f>
        <v>7.2500000000000009E-2</v>
      </c>
      <c r="G14" s="618">
        <f t="shared" si="10"/>
        <v>7.2500000000000009E-2</v>
      </c>
      <c r="H14" s="618">
        <f t="shared" si="10"/>
        <v>7.2500000000000009E-2</v>
      </c>
      <c r="I14" s="618">
        <f t="shared" si="10"/>
        <v>7.2500000000000009E-2</v>
      </c>
      <c r="J14" s="618">
        <f t="shared" si="10"/>
        <v>7.2500000000000009E-2</v>
      </c>
      <c r="K14" s="618">
        <f t="shared" si="10"/>
        <v>7.2500000000000009E-2</v>
      </c>
      <c r="L14" s="618">
        <f t="shared" si="10"/>
        <v>7.2500000000000009E-2</v>
      </c>
      <c r="M14" s="618">
        <f t="shared" si="10"/>
        <v>7.2500000000000009E-2</v>
      </c>
      <c r="N14" s="618">
        <f t="shared" si="10"/>
        <v>7.2500000000000009E-2</v>
      </c>
      <c r="O14" s="618">
        <f t="shared" si="10"/>
        <v>7.2500000000000009E-2</v>
      </c>
      <c r="P14" s="618">
        <f t="shared" si="10"/>
        <v>7.2500000000000009E-2</v>
      </c>
      <c r="Q14" s="618">
        <f t="shared" si="10"/>
        <v>7.2500000000000009E-2</v>
      </c>
      <c r="R14" s="618">
        <f t="shared" si="10"/>
        <v>7.2500000000000009E-2</v>
      </c>
      <c r="S14" s="618">
        <f t="shared" si="10"/>
        <v>7.2500000000000009E-2</v>
      </c>
      <c r="T14" s="618">
        <f t="shared" si="10"/>
        <v>7.2500000000000009E-2</v>
      </c>
      <c r="U14" s="618">
        <f t="shared" si="10"/>
        <v>7.2500000000000009E-2</v>
      </c>
      <c r="V14" s="618">
        <f t="shared" si="10"/>
        <v>7.2500000000000009E-2</v>
      </c>
      <c r="W14" s="618">
        <f t="shared" ref="W14:X14" si="11">SUM(W15:W18)</f>
        <v>7.2500000000000009E-2</v>
      </c>
      <c r="X14" s="618">
        <f t="shared" si="11"/>
        <v>7.2500000000000009E-2</v>
      </c>
      <c r="Z14" s="619"/>
      <c r="AB14" s="616" t="s">
        <v>458</v>
      </c>
      <c r="AC14" s="617" t="s">
        <v>0</v>
      </c>
      <c r="AD14" s="618">
        <f>SUM(AD15:AD18)</f>
        <v>7.2500000000000009E-2</v>
      </c>
      <c r="AF14" s="605" t="s">
        <v>27</v>
      </c>
    </row>
    <row r="15" spans="2:35">
      <c r="B15" s="604" t="s">
        <v>459</v>
      </c>
      <c r="C15" s="605" t="s">
        <v>0</v>
      </c>
      <c r="E15" s="615">
        <v>5.0000000000000001E-3</v>
      </c>
      <c r="F15" s="615">
        <v>2.5000000000000001E-3</v>
      </c>
      <c r="G15" s="615">
        <v>2.5000000000000001E-3</v>
      </c>
      <c r="H15" s="615">
        <v>2.5000000000000001E-3</v>
      </c>
      <c r="I15" s="615">
        <v>2.5000000000000001E-3</v>
      </c>
      <c r="J15" s="615">
        <v>2.5000000000000001E-3</v>
      </c>
      <c r="K15" s="615">
        <v>2.5000000000000001E-3</v>
      </c>
      <c r="L15" s="615">
        <v>2.5000000000000001E-3</v>
      </c>
      <c r="M15" s="615">
        <v>2.5000000000000001E-3</v>
      </c>
      <c r="N15" s="615">
        <v>2.5000000000000001E-3</v>
      </c>
      <c r="O15" s="615">
        <v>2.5000000000000001E-3</v>
      </c>
      <c r="P15" s="615">
        <v>2.5000000000000001E-3</v>
      </c>
      <c r="Q15" s="615">
        <v>2.5000000000000001E-3</v>
      </c>
      <c r="R15" s="615">
        <v>2.5000000000000001E-3</v>
      </c>
      <c r="S15" s="615">
        <v>2.5000000000000001E-3</v>
      </c>
      <c r="T15" s="787">
        <v>2.5000000000000001E-3</v>
      </c>
      <c r="U15" s="787">
        <v>2.5000000000000001E-3</v>
      </c>
      <c r="V15" s="787">
        <v>2.5000000000000001E-3</v>
      </c>
      <c r="W15" s="787">
        <v>2.5000000000000001E-3</v>
      </c>
      <c r="X15" s="787">
        <v>2.5000000000000001E-3</v>
      </c>
      <c r="Z15" s="611"/>
      <c r="AB15" s="604" t="s">
        <v>459</v>
      </c>
      <c r="AC15" s="605" t="s">
        <v>0</v>
      </c>
      <c r="AD15" s="615">
        <f t="shared" ref="AD15:AD18" si="12">ROUND(LOOKUP(MID($AD$3,1,4),$E$134:$Y$134,E15:Y15),4)</f>
        <v>2.5000000000000001E-3</v>
      </c>
      <c r="AF15" s="605" t="s">
        <v>27</v>
      </c>
    </row>
    <row r="16" spans="2:35">
      <c r="B16" s="604" t="s">
        <v>460</v>
      </c>
      <c r="C16" s="605" t="s">
        <v>0</v>
      </c>
      <c r="E16" s="615">
        <v>4.9999999999999996E-2</v>
      </c>
      <c r="F16" s="615">
        <v>0.05</v>
      </c>
      <c r="G16" s="615">
        <v>0.05</v>
      </c>
      <c r="H16" s="615">
        <v>0.05</v>
      </c>
      <c r="I16" s="615">
        <v>0.05</v>
      </c>
      <c r="J16" s="615">
        <v>0.05</v>
      </c>
      <c r="K16" s="615">
        <v>0.05</v>
      </c>
      <c r="L16" s="615">
        <v>0.05</v>
      </c>
      <c r="M16" s="615">
        <v>0.05</v>
      </c>
      <c r="N16" s="615">
        <v>0.05</v>
      </c>
      <c r="O16" s="615">
        <v>0.05</v>
      </c>
      <c r="P16" s="615">
        <v>0.05</v>
      </c>
      <c r="Q16" s="615">
        <v>0.05</v>
      </c>
      <c r="R16" s="615">
        <v>0.05</v>
      </c>
      <c r="S16" s="615">
        <v>0.05</v>
      </c>
      <c r="T16" s="787">
        <v>0.05</v>
      </c>
      <c r="U16" s="787">
        <v>0.05</v>
      </c>
      <c r="V16" s="787">
        <v>0.05</v>
      </c>
      <c r="W16" s="787">
        <v>0.05</v>
      </c>
      <c r="X16" s="787">
        <v>0.05</v>
      </c>
      <c r="Z16" s="611"/>
      <c r="AB16" s="604" t="s">
        <v>460</v>
      </c>
      <c r="AC16" s="605" t="s">
        <v>0</v>
      </c>
      <c r="AD16" s="615">
        <f t="shared" si="12"/>
        <v>0.05</v>
      </c>
      <c r="AF16" s="605" t="s">
        <v>27</v>
      </c>
    </row>
    <row r="17" spans="2:35">
      <c r="B17" s="604" t="s">
        <v>461</v>
      </c>
      <c r="C17" s="605" t="s">
        <v>0</v>
      </c>
      <c r="E17" s="615">
        <v>5.0000000000000001E-3</v>
      </c>
      <c r="F17" s="615">
        <v>5.0000000000000001E-3</v>
      </c>
      <c r="G17" s="615">
        <v>5.0000000000000001E-3</v>
      </c>
      <c r="H17" s="615">
        <v>5.0000000000000001E-3</v>
      </c>
      <c r="I17" s="615">
        <v>5.0000000000000001E-3</v>
      </c>
      <c r="J17" s="615">
        <v>5.0000000000000001E-3</v>
      </c>
      <c r="K17" s="615">
        <v>5.0000000000000001E-3</v>
      </c>
      <c r="L17" s="615">
        <v>5.0000000000000001E-3</v>
      </c>
      <c r="M17" s="615">
        <v>5.0000000000000001E-3</v>
      </c>
      <c r="N17" s="615">
        <v>5.0000000000000001E-3</v>
      </c>
      <c r="O17" s="615">
        <v>5.0000000000000001E-3</v>
      </c>
      <c r="P17" s="615">
        <v>5.0000000000000001E-3</v>
      </c>
      <c r="Q17" s="615">
        <v>5.0000000000000001E-3</v>
      </c>
      <c r="R17" s="615">
        <v>5.0000000000000001E-3</v>
      </c>
      <c r="S17" s="615">
        <v>5.0000000000000001E-3</v>
      </c>
      <c r="T17" s="787">
        <v>5.0000000000000001E-3</v>
      </c>
      <c r="U17" s="787">
        <v>5.0000000000000001E-3</v>
      </c>
      <c r="V17" s="787">
        <v>5.0000000000000001E-3</v>
      </c>
      <c r="W17" s="787">
        <v>5.0000000000000001E-3</v>
      </c>
      <c r="X17" s="787">
        <v>5.0000000000000001E-3</v>
      </c>
      <c r="Z17" s="611"/>
      <c r="AB17" s="604" t="s">
        <v>461</v>
      </c>
      <c r="AC17" s="605" t="s">
        <v>0</v>
      </c>
      <c r="AD17" s="615">
        <f t="shared" si="12"/>
        <v>5.0000000000000001E-3</v>
      </c>
      <c r="AF17" s="605" t="s">
        <v>27</v>
      </c>
    </row>
    <row r="18" spans="2:35">
      <c r="B18" s="604" t="s">
        <v>462</v>
      </c>
      <c r="C18" s="605" t="s">
        <v>0</v>
      </c>
      <c r="E18" s="615">
        <v>1.4999999999999999E-2</v>
      </c>
      <c r="F18" s="615">
        <v>1.4999999999999999E-2</v>
      </c>
      <c r="G18" s="615">
        <v>1.4999999999999999E-2</v>
      </c>
      <c r="H18" s="615">
        <v>1.4999999999999999E-2</v>
      </c>
      <c r="I18" s="615">
        <v>1.4999999999999999E-2</v>
      </c>
      <c r="J18" s="615">
        <v>1.4999999999999999E-2</v>
      </c>
      <c r="K18" s="615">
        <v>1.4999999999999999E-2</v>
      </c>
      <c r="L18" s="615">
        <v>1.4999999999999999E-2</v>
      </c>
      <c r="M18" s="615">
        <v>1.4999999999999999E-2</v>
      </c>
      <c r="N18" s="615">
        <v>1.4999999999999999E-2</v>
      </c>
      <c r="O18" s="615">
        <v>1.4999999999999999E-2</v>
      </c>
      <c r="P18" s="615">
        <v>1.4999999999999999E-2</v>
      </c>
      <c r="Q18" s="615">
        <v>1.4999999999999999E-2</v>
      </c>
      <c r="R18" s="615">
        <v>1.4999999999999999E-2</v>
      </c>
      <c r="S18" s="615">
        <v>1.4999999999999999E-2</v>
      </c>
      <c r="T18" s="787">
        <v>1.4999999999999999E-2</v>
      </c>
      <c r="U18" s="787">
        <v>1.4999999999999999E-2</v>
      </c>
      <c r="V18" s="787">
        <v>1.4999999999999999E-2</v>
      </c>
      <c r="W18" s="787">
        <v>1.4999999999999999E-2</v>
      </c>
      <c r="X18" s="787">
        <v>1.4999999999999999E-2</v>
      </c>
      <c r="Z18" s="611"/>
      <c r="AB18" s="604" t="s">
        <v>462</v>
      </c>
      <c r="AC18" s="605" t="s">
        <v>0</v>
      </c>
      <c r="AD18" s="615">
        <f t="shared" si="12"/>
        <v>1.4999999999999999E-2</v>
      </c>
      <c r="AF18" s="605" t="s">
        <v>27</v>
      </c>
    </row>
    <row r="19" spans="2:35" s="616" customFormat="1">
      <c r="B19" s="616" t="s">
        <v>463</v>
      </c>
      <c r="C19" s="617" t="s">
        <v>0</v>
      </c>
      <c r="E19" s="618">
        <f>SUM(E20:E22)</f>
        <v>4.7500000000000001E-2</v>
      </c>
      <c r="F19" s="618">
        <f t="shared" ref="F19:V19" si="13">SUM(F20:F22)</f>
        <v>4.7500000000000001E-2</v>
      </c>
      <c r="G19" s="618">
        <f t="shared" si="13"/>
        <v>4.7500000000000001E-2</v>
      </c>
      <c r="H19" s="618">
        <f t="shared" si="13"/>
        <v>4.7500000000000001E-2</v>
      </c>
      <c r="I19" s="618">
        <f t="shared" si="13"/>
        <v>4.7500000000000001E-2</v>
      </c>
      <c r="J19" s="618">
        <f t="shared" si="13"/>
        <v>4.7500000000000001E-2</v>
      </c>
      <c r="K19" s="618">
        <f t="shared" si="13"/>
        <v>4.7500000000000001E-2</v>
      </c>
      <c r="L19" s="618">
        <f t="shared" si="13"/>
        <v>4.7500000000000001E-2</v>
      </c>
      <c r="M19" s="618">
        <f t="shared" si="13"/>
        <v>4.7500000000000001E-2</v>
      </c>
      <c r="N19" s="618">
        <f t="shared" si="13"/>
        <v>4.7500000000000001E-2</v>
      </c>
      <c r="O19" s="618">
        <f t="shared" si="13"/>
        <v>4.7500000000000001E-2</v>
      </c>
      <c r="P19" s="618">
        <f t="shared" si="13"/>
        <v>4.7500000000000001E-2</v>
      </c>
      <c r="Q19" s="618">
        <f t="shared" si="13"/>
        <v>4.7500000000000001E-2</v>
      </c>
      <c r="R19" s="618">
        <f t="shared" si="13"/>
        <v>4.7500000000000001E-2</v>
      </c>
      <c r="S19" s="618">
        <f t="shared" si="13"/>
        <v>4.7500000000000001E-2</v>
      </c>
      <c r="T19" s="618">
        <f t="shared" si="13"/>
        <v>4.7500000000000001E-2</v>
      </c>
      <c r="U19" s="618">
        <f t="shared" si="13"/>
        <v>4.7500000000000001E-2</v>
      </c>
      <c r="V19" s="618">
        <f t="shared" si="13"/>
        <v>4.7500000000000001E-2</v>
      </c>
      <c r="W19" s="618">
        <f t="shared" ref="W19:X19" si="14">SUM(W20:W22)</f>
        <v>4.7500000000000001E-2</v>
      </c>
      <c r="X19" s="618">
        <f t="shared" si="14"/>
        <v>4.7500000000000001E-2</v>
      </c>
      <c r="Z19" s="619"/>
      <c r="AB19" s="616" t="s">
        <v>463</v>
      </c>
      <c r="AC19" s="617" t="s">
        <v>0</v>
      </c>
      <c r="AD19" s="618">
        <f>SUM(AD20:AD22)</f>
        <v>4.7500000000000001E-2</v>
      </c>
      <c r="AF19" s="605" t="s">
        <v>27</v>
      </c>
    </row>
    <row r="20" spans="2:35">
      <c r="B20" s="604" t="s">
        <v>459</v>
      </c>
      <c r="C20" s="605" t="s">
        <v>0</v>
      </c>
      <c r="E20" s="615">
        <v>2.5000000000000001E-3</v>
      </c>
      <c r="F20" s="615">
        <v>2.5000000000000001E-3</v>
      </c>
      <c r="G20" s="615">
        <v>2.5000000000000001E-3</v>
      </c>
      <c r="H20" s="615">
        <v>2.5000000000000001E-3</v>
      </c>
      <c r="I20" s="615">
        <v>2.5000000000000001E-3</v>
      </c>
      <c r="J20" s="615">
        <v>2.5000000000000001E-3</v>
      </c>
      <c r="K20" s="615">
        <v>2.5000000000000001E-3</v>
      </c>
      <c r="L20" s="615">
        <v>2.5000000000000001E-3</v>
      </c>
      <c r="M20" s="615">
        <v>2.5000000000000001E-3</v>
      </c>
      <c r="N20" s="615">
        <v>2.5000000000000001E-3</v>
      </c>
      <c r="O20" s="615">
        <v>2.5000000000000001E-3</v>
      </c>
      <c r="P20" s="615">
        <v>2.5000000000000001E-3</v>
      </c>
      <c r="Q20" s="615">
        <v>2.5000000000000001E-3</v>
      </c>
      <c r="R20" s="615">
        <v>2.5000000000000001E-3</v>
      </c>
      <c r="S20" s="615">
        <v>2.5000000000000001E-3</v>
      </c>
      <c r="T20" s="787">
        <v>2.5000000000000001E-3</v>
      </c>
      <c r="U20" s="787">
        <v>2.5000000000000001E-3</v>
      </c>
      <c r="V20" s="787">
        <v>2.5000000000000001E-3</v>
      </c>
      <c r="W20" s="787">
        <v>2.5000000000000001E-3</v>
      </c>
      <c r="X20" s="787">
        <v>2.5000000000000001E-3</v>
      </c>
      <c r="Z20" s="611"/>
      <c r="AB20" s="604" t="s">
        <v>459</v>
      </c>
      <c r="AC20" s="605" t="s">
        <v>0</v>
      </c>
      <c r="AD20" s="615">
        <f t="shared" ref="AD20:AD22" si="15">ROUND(LOOKUP(MID($AD$3,1,4),$E$134:$Y$134,E20:Y20),4)</f>
        <v>2.5000000000000001E-3</v>
      </c>
      <c r="AF20" s="605" t="s">
        <v>27</v>
      </c>
    </row>
    <row r="21" spans="2:35">
      <c r="B21" s="604" t="s">
        <v>464</v>
      </c>
      <c r="C21" s="605" t="s">
        <v>0</v>
      </c>
      <c r="E21" s="615">
        <v>0.03</v>
      </c>
      <c r="F21" s="615">
        <v>0.03</v>
      </c>
      <c r="G21" s="615">
        <v>0.03</v>
      </c>
      <c r="H21" s="615">
        <v>0.03</v>
      </c>
      <c r="I21" s="615">
        <v>0.03</v>
      </c>
      <c r="J21" s="615">
        <v>0.03</v>
      </c>
      <c r="K21" s="615">
        <v>0.03</v>
      </c>
      <c r="L21" s="615">
        <v>0.03</v>
      </c>
      <c r="M21" s="615">
        <v>0.03</v>
      </c>
      <c r="N21" s="615">
        <v>0.03</v>
      </c>
      <c r="O21" s="615">
        <v>0.03</v>
      </c>
      <c r="P21" s="615">
        <v>0.03</v>
      </c>
      <c r="Q21" s="615">
        <v>0.03</v>
      </c>
      <c r="R21" s="615">
        <v>0.03</v>
      </c>
      <c r="S21" s="615">
        <v>0.03</v>
      </c>
      <c r="T21" s="787">
        <v>0.03</v>
      </c>
      <c r="U21" s="787">
        <v>0.03</v>
      </c>
      <c r="V21" s="787">
        <v>0.03</v>
      </c>
      <c r="W21" s="787">
        <v>0.03</v>
      </c>
      <c r="X21" s="787">
        <v>0.03</v>
      </c>
      <c r="Z21" s="611"/>
      <c r="AB21" s="604" t="s">
        <v>464</v>
      </c>
      <c r="AC21" s="605" t="s">
        <v>0</v>
      </c>
      <c r="AD21" s="615">
        <f t="shared" si="15"/>
        <v>0.03</v>
      </c>
      <c r="AF21" s="605" t="s">
        <v>27</v>
      </c>
    </row>
    <row r="22" spans="2:35">
      <c r="B22" s="604" t="s">
        <v>465</v>
      </c>
      <c r="C22" s="605" t="s">
        <v>0</v>
      </c>
      <c r="E22" s="615">
        <v>1.4999999999999999E-2</v>
      </c>
      <c r="F22" s="615">
        <v>1.4999999999999999E-2</v>
      </c>
      <c r="G22" s="615">
        <v>1.4999999999999999E-2</v>
      </c>
      <c r="H22" s="615">
        <v>1.4999999999999999E-2</v>
      </c>
      <c r="I22" s="615">
        <v>1.4999999999999999E-2</v>
      </c>
      <c r="J22" s="615">
        <v>1.4999999999999999E-2</v>
      </c>
      <c r="K22" s="615">
        <v>1.4999999999999999E-2</v>
      </c>
      <c r="L22" s="615">
        <v>1.4999999999999999E-2</v>
      </c>
      <c r="M22" s="615">
        <v>1.4999999999999999E-2</v>
      </c>
      <c r="N22" s="615">
        <v>1.4999999999999999E-2</v>
      </c>
      <c r="O22" s="615">
        <v>1.4999999999999999E-2</v>
      </c>
      <c r="P22" s="615">
        <v>1.4999999999999999E-2</v>
      </c>
      <c r="Q22" s="615">
        <v>1.4999999999999999E-2</v>
      </c>
      <c r="R22" s="615">
        <v>1.4999999999999999E-2</v>
      </c>
      <c r="S22" s="615">
        <v>1.4999999999999999E-2</v>
      </c>
      <c r="T22" s="787">
        <v>1.4999999999999999E-2</v>
      </c>
      <c r="U22" s="787">
        <v>1.4999999999999999E-2</v>
      </c>
      <c r="V22" s="787">
        <v>1.4999999999999999E-2</v>
      </c>
      <c r="W22" s="787">
        <v>1.4999999999999999E-2</v>
      </c>
      <c r="X22" s="787">
        <v>1.4999999999999999E-2</v>
      </c>
      <c r="Z22" s="611"/>
      <c r="AB22" s="604" t="s">
        <v>465</v>
      </c>
      <c r="AC22" s="605" t="s">
        <v>0</v>
      </c>
      <c r="AD22" s="615">
        <f t="shared" si="15"/>
        <v>1.4999999999999999E-2</v>
      </c>
      <c r="AF22" s="605" t="s">
        <v>27</v>
      </c>
    </row>
    <row r="23" spans="2:35" s="616" customFormat="1">
      <c r="B23" s="616" t="s">
        <v>466</v>
      </c>
      <c r="C23" s="617" t="s">
        <v>0</v>
      </c>
      <c r="E23" s="618">
        <f>SUM(E24:E25)</f>
        <v>0.13666666666666666</v>
      </c>
      <c r="F23" s="618">
        <f t="shared" ref="F23:V23" si="16">SUM(F24:F25)</f>
        <v>0.13666666666666666</v>
      </c>
      <c r="G23" s="618">
        <f t="shared" si="16"/>
        <v>0.13666666666666666</v>
      </c>
      <c r="H23" s="618">
        <f t="shared" si="16"/>
        <v>0.13666666666666666</v>
      </c>
      <c r="I23" s="618">
        <f t="shared" si="16"/>
        <v>0.13666666666666666</v>
      </c>
      <c r="J23" s="618">
        <f t="shared" si="16"/>
        <v>0.13666666666666666</v>
      </c>
      <c r="K23" s="618">
        <f t="shared" si="16"/>
        <v>0.13666666666666666</v>
      </c>
      <c r="L23" s="618">
        <f t="shared" si="16"/>
        <v>0.13666666666666666</v>
      </c>
      <c r="M23" s="618">
        <f t="shared" si="16"/>
        <v>0.13666666666666666</v>
      </c>
      <c r="N23" s="618">
        <f t="shared" si="16"/>
        <v>0.13666666666666666</v>
      </c>
      <c r="O23" s="618">
        <f t="shared" si="16"/>
        <v>0.13666666666666666</v>
      </c>
      <c r="P23" s="618">
        <f t="shared" si="16"/>
        <v>0.13666666666666666</v>
      </c>
      <c r="Q23" s="618">
        <f t="shared" si="16"/>
        <v>0.13666666666666666</v>
      </c>
      <c r="R23" s="618">
        <f t="shared" si="16"/>
        <v>0.13666666666666666</v>
      </c>
      <c r="S23" s="618">
        <f t="shared" si="16"/>
        <v>0.13666666666666666</v>
      </c>
      <c r="T23" s="618">
        <f t="shared" si="16"/>
        <v>0.13666666666666666</v>
      </c>
      <c r="U23" s="618">
        <f t="shared" si="16"/>
        <v>0.13666666666666666</v>
      </c>
      <c r="V23" s="618">
        <f t="shared" si="16"/>
        <v>0.13666666666666666</v>
      </c>
      <c r="W23" s="618">
        <f t="shared" ref="W23:X23" si="17">SUM(W24:W25)</f>
        <v>0.13666666666666666</v>
      </c>
      <c r="X23" s="618">
        <f t="shared" si="17"/>
        <v>0.13666666666666666</v>
      </c>
      <c r="Z23" s="619"/>
      <c r="AB23" s="616" t="s">
        <v>466</v>
      </c>
      <c r="AC23" s="617" t="s">
        <v>0</v>
      </c>
      <c r="AD23" s="618">
        <f>SUM(AD24:AD25)</f>
        <v>0.1366</v>
      </c>
      <c r="AF23" s="605" t="s">
        <v>27</v>
      </c>
    </row>
    <row r="24" spans="2:35">
      <c r="B24" s="604" t="s">
        <v>467</v>
      </c>
      <c r="C24" s="605" t="s">
        <v>0</v>
      </c>
      <c r="E24" s="615">
        <v>8.3333333333333329E-2</v>
      </c>
      <c r="F24" s="615">
        <v>8.3333333333333329E-2</v>
      </c>
      <c r="G24" s="615">
        <v>8.3333333333333329E-2</v>
      </c>
      <c r="H24" s="615">
        <v>8.3333333333333329E-2</v>
      </c>
      <c r="I24" s="615">
        <v>8.3333333333333329E-2</v>
      </c>
      <c r="J24" s="615">
        <v>8.3333333333333329E-2</v>
      </c>
      <c r="K24" s="615">
        <v>8.3333333333333329E-2</v>
      </c>
      <c r="L24" s="615">
        <v>8.3333333333333329E-2</v>
      </c>
      <c r="M24" s="615">
        <v>8.3333333333333329E-2</v>
      </c>
      <c r="N24" s="615">
        <v>8.3333333333333329E-2</v>
      </c>
      <c r="O24" s="615">
        <v>8.3333333333333329E-2</v>
      </c>
      <c r="P24" s="615">
        <v>8.3333333333333329E-2</v>
      </c>
      <c r="Q24" s="615">
        <v>8.3333333333333329E-2</v>
      </c>
      <c r="R24" s="615">
        <v>8.3333333333333329E-2</v>
      </c>
      <c r="S24" s="615">
        <v>8.3333333333333329E-2</v>
      </c>
      <c r="T24" s="787">
        <v>8.3333333333333329E-2</v>
      </c>
      <c r="U24" s="787">
        <v>8.3333333333333329E-2</v>
      </c>
      <c r="V24" s="787">
        <v>8.3333333333333329E-2</v>
      </c>
      <c r="W24" s="787">
        <v>8.3333333333333329E-2</v>
      </c>
      <c r="X24" s="787">
        <v>8.3333333333333329E-2</v>
      </c>
      <c r="Z24" s="611"/>
      <c r="AB24" s="604" t="s">
        <v>467</v>
      </c>
      <c r="AC24" s="605" t="s">
        <v>0</v>
      </c>
      <c r="AD24" s="615">
        <f t="shared" ref="AD24:AD26" si="18">ROUND(LOOKUP(MID($AD$3,1,4),$E$134:$Y$134,E24:Y24),4)</f>
        <v>8.3299999999999999E-2</v>
      </c>
      <c r="AF24" s="605" t="s">
        <v>27</v>
      </c>
    </row>
    <row r="25" spans="2:35">
      <c r="B25" s="604" t="s">
        <v>468</v>
      </c>
      <c r="C25" s="605" t="s">
        <v>0</v>
      </c>
      <c r="E25" s="615">
        <v>5.333333333333333E-2</v>
      </c>
      <c r="F25" s="615">
        <v>5.333333333333333E-2</v>
      </c>
      <c r="G25" s="615">
        <v>5.333333333333333E-2</v>
      </c>
      <c r="H25" s="615">
        <v>5.333333333333333E-2</v>
      </c>
      <c r="I25" s="615">
        <v>5.333333333333333E-2</v>
      </c>
      <c r="J25" s="615">
        <v>5.333333333333333E-2</v>
      </c>
      <c r="K25" s="615">
        <v>5.333333333333333E-2</v>
      </c>
      <c r="L25" s="615">
        <v>5.333333333333333E-2</v>
      </c>
      <c r="M25" s="615">
        <v>5.333333333333333E-2</v>
      </c>
      <c r="N25" s="615">
        <v>5.333333333333333E-2</v>
      </c>
      <c r="O25" s="615">
        <v>5.333333333333333E-2</v>
      </c>
      <c r="P25" s="615">
        <v>5.333333333333333E-2</v>
      </c>
      <c r="Q25" s="615">
        <v>5.333333333333333E-2</v>
      </c>
      <c r="R25" s="615">
        <v>5.333333333333333E-2</v>
      </c>
      <c r="S25" s="615">
        <v>5.333333333333333E-2</v>
      </c>
      <c r="T25" s="787">
        <v>5.333333333333333E-2</v>
      </c>
      <c r="U25" s="787">
        <v>5.333333333333333E-2</v>
      </c>
      <c r="V25" s="787">
        <v>5.333333333333333E-2</v>
      </c>
      <c r="W25" s="787">
        <v>5.333333333333333E-2</v>
      </c>
      <c r="X25" s="787">
        <v>5.333333333333333E-2</v>
      </c>
      <c r="Z25" s="611"/>
      <c r="AB25" s="604" t="s">
        <v>468</v>
      </c>
      <c r="AC25" s="605" t="s">
        <v>0</v>
      </c>
      <c r="AD25" s="615">
        <f t="shared" si="18"/>
        <v>5.33E-2</v>
      </c>
      <c r="AF25" s="605" t="s">
        <v>27</v>
      </c>
    </row>
    <row r="26" spans="2:35" s="616" customFormat="1">
      <c r="B26" s="616" t="s">
        <v>469</v>
      </c>
      <c r="C26" s="617" t="s">
        <v>0</v>
      </c>
      <c r="E26" s="618">
        <v>3.4200000000000001E-2</v>
      </c>
      <c r="F26" s="618">
        <v>3.4200000000000001E-2</v>
      </c>
      <c r="G26" s="618">
        <v>3.6491666666666665E-2</v>
      </c>
      <c r="H26" s="618">
        <v>3.9699999999999999E-2</v>
      </c>
      <c r="I26" s="618">
        <v>4.3699999999999996E-2</v>
      </c>
      <c r="J26" s="618">
        <v>4.9299999999999997E-2</v>
      </c>
      <c r="K26" s="618">
        <v>4.9299999999999997E-2</v>
      </c>
      <c r="L26" s="618">
        <v>4.9299999999999997E-2</v>
      </c>
      <c r="M26" s="618">
        <v>4.9299999999999997E-2</v>
      </c>
      <c r="N26" s="618">
        <v>4.7199999999999999E-2</v>
      </c>
      <c r="O26" s="618">
        <v>4.6400000000000004E-2</v>
      </c>
      <c r="P26" s="618">
        <v>4.6100000000000002E-2</v>
      </c>
      <c r="Q26" s="618">
        <v>4.6100000000000002E-2</v>
      </c>
      <c r="R26" s="618">
        <v>4.6100000000000002E-2</v>
      </c>
      <c r="S26" s="618">
        <v>4.6100000000000002E-2</v>
      </c>
      <c r="T26" s="618">
        <v>4.6100000000000002E-2</v>
      </c>
      <c r="U26" s="618">
        <v>4.6100000000000002E-2</v>
      </c>
      <c r="V26" s="618">
        <v>4.6100000000000002E-2</v>
      </c>
      <c r="W26" s="618">
        <v>4.6100000000000002E-2</v>
      </c>
      <c r="X26" s="618">
        <f>(4.61%*8+4.95%*4)/12</f>
        <v>4.7233333333333329E-2</v>
      </c>
      <c r="Z26" s="619"/>
      <c r="AB26" s="616" t="s">
        <v>469</v>
      </c>
      <c r="AC26" s="617" t="s">
        <v>0</v>
      </c>
      <c r="AD26" s="618">
        <f t="shared" si="18"/>
        <v>4.7199999999999999E-2</v>
      </c>
      <c r="AF26" s="605" t="s">
        <v>27</v>
      </c>
    </row>
    <row r="27" spans="2:35">
      <c r="Z27" s="611"/>
      <c r="AC27" s="605"/>
    </row>
    <row r="28" spans="2:35">
      <c r="B28" s="608" t="s">
        <v>470</v>
      </c>
      <c r="Z28" s="611"/>
      <c r="AB28" s="608" t="s">
        <v>470</v>
      </c>
      <c r="AC28" s="605"/>
    </row>
    <row r="29" spans="2:35">
      <c r="B29" s="604" t="s">
        <v>217</v>
      </c>
      <c r="C29" s="605" t="s">
        <v>114</v>
      </c>
      <c r="E29" s="612">
        <v>122.54593973285374</v>
      </c>
      <c r="F29" s="612">
        <v>134.02848611778393</v>
      </c>
      <c r="G29" s="612">
        <v>146.58286715354302</v>
      </c>
      <c r="H29" s="612">
        <v>149.17869014004714</v>
      </c>
      <c r="I29" s="612">
        <v>180.21811192717257</v>
      </c>
      <c r="J29" s="612">
        <v>213.7297702351905</v>
      </c>
      <c r="K29" s="612">
        <v>201.6060248778127</v>
      </c>
      <c r="L29" s="612">
        <v>181.42137596844481</v>
      </c>
      <c r="M29" s="612">
        <v>216.64846466171682</v>
      </c>
      <c r="N29" s="612">
        <v>217.39234964604708</v>
      </c>
      <c r="O29" s="612">
        <v>217.01573321399366</v>
      </c>
      <c r="P29" s="612">
        <v>228.37092266278125</v>
      </c>
      <c r="Q29" s="612">
        <v>245.69845688155988</v>
      </c>
      <c r="R29" s="612">
        <v>253.12771018548406</v>
      </c>
      <c r="S29" s="612">
        <v>222.92901269802454</v>
      </c>
      <c r="T29" s="612">
        <v>276.55240977663391</v>
      </c>
      <c r="U29" s="612">
        <v>282.920325096</v>
      </c>
      <c r="V29" s="612">
        <v>237.77123688886152</v>
      </c>
      <c r="W29" s="612">
        <v>286.35353880030488</v>
      </c>
      <c r="X29" s="612">
        <v>294.97854510090241</v>
      </c>
      <c r="Z29" s="611"/>
      <c r="AB29" s="604" t="s">
        <v>217</v>
      </c>
      <c r="AC29" s="605" t="s">
        <v>114</v>
      </c>
      <c r="AD29" s="612">
        <f>ROUND(LOOKUP(MID($AD$3,1,4),$E$134:$Y$134,E29:Y29),4)</f>
        <v>294.9785</v>
      </c>
      <c r="AF29" s="734">
        <f>X29*(1+POWER((X29/Q29),(1/(COUNT(Q29:X29)-1)))-1)</f>
        <v>302.78305889332972</v>
      </c>
    </row>
    <row r="30" spans="2:35">
      <c r="B30" s="604" t="s">
        <v>471</v>
      </c>
      <c r="C30" s="605" t="s">
        <v>472</v>
      </c>
      <c r="E30" s="620">
        <f t="shared" ref="E30:Q30" si="19">F30/(F29/E29)</f>
        <v>142.00799041144464</v>
      </c>
      <c r="F30" s="620">
        <f t="shared" si="19"/>
        <v>155.31412964775731</v>
      </c>
      <c r="G30" s="620">
        <f t="shared" si="19"/>
        <v>169.86232623129322</v>
      </c>
      <c r="H30" s="620">
        <f t="shared" si="19"/>
        <v>172.87040309276151</v>
      </c>
      <c r="I30" s="620">
        <f t="shared" si="19"/>
        <v>208.83932969393538</v>
      </c>
      <c r="J30" s="620">
        <f t="shared" si="19"/>
        <v>247.67311938987245</v>
      </c>
      <c r="K30" s="620">
        <f t="shared" si="19"/>
        <v>233.62394959922506</v>
      </c>
      <c r="L30" s="620">
        <f t="shared" si="19"/>
        <v>210.23368930150721</v>
      </c>
      <c r="M30" s="620">
        <f t="shared" si="19"/>
        <v>251.05534430111499</v>
      </c>
      <c r="N30" s="620">
        <f t="shared" si="19"/>
        <v>251.91736887697837</v>
      </c>
      <c r="O30" s="620">
        <f t="shared" si="19"/>
        <v>251.48094036055076</v>
      </c>
      <c r="P30" s="620">
        <f t="shared" si="19"/>
        <v>264.63949655489569</v>
      </c>
      <c r="Q30" s="620">
        <f t="shared" si="19"/>
        <v>284.71889142149371</v>
      </c>
      <c r="R30" s="620">
        <v>293.32801657282681</v>
      </c>
      <c r="S30" s="612">
        <v>258.33333333333337</v>
      </c>
      <c r="T30" s="612">
        <v>276.3095238095238</v>
      </c>
      <c r="U30" s="612">
        <v>426.58730158730162</v>
      </c>
      <c r="V30" s="612">
        <v>420.83333333333337</v>
      </c>
      <c r="W30" s="612">
        <v>360.35714285714283</v>
      </c>
      <c r="X30" s="612">
        <v>296.38888888888886</v>
      </c>
      <c r="Z30" s="611"/>
      <c r="AB30" s="604" t="s">
        <v>471</v>
      </c>
      <c r="AC30" s="605" t="s">
        <v>472</v>
      </c>
      <c r="AD30" s="612">
        <f>ROUND(LOOKUP(MID($AD$3,1,4),$E$134:$Y$134,E30:Y30),4)</f>
        <v>296.38889999999998</v>
      </c>
      <c r="AF30" s="612">
        <v>250</v>
      </c>
    </row>
    <row r="31" spans="2:35">
      <c r="B31" s="604" t="s">
        <v>473</v>
      </c>
      <c r="C31" s="605" t="s">
        <v>123</v>
      </c>
      <c r="E31" s="612">
        <v>1823.5612738143875</v>
      </c>
      <c r="F31" s="612">
        <v>1860.651944370014</v>
      </c>
      <c r="G31" s="612">
        <v>2040.4155402460435</v>
      </c>
      <c r="H31" s="612">
        <v>2504.8852897056049</v>
      </c>
      <c r="I31" s="612">
        <v>2492.3734396566665</v>
      </c>
      <c r="J31" s="612">
        <v>2807.0420408163263</v>
      </c>
      <c r="K31" s="612">
        <v>2539.4500000000003</v>
      </c>
      <c r="L31" s="612">
        <v>2552.2395833333335</v>
      </c>
      <c r="M31" s="612">
        <v>2552.2395833333335</v>
      </c>
      <c r="N31" s="612">
        <v>3215.1416666666664</v>
      </c>
      <c r="O31" s="612">
        <v>3118.2666666666664</v>
      </c>
      <c r="P31" s="612">
        <v>2867.9359623015876</v>
      </c>
      <c r="Q31" s="612">
        <v>2856.2999999999997</v>
      </c>
      <c r="R31" s="612">
        <v>2801.8155555555559</v>
      </c>
      <c r="S31" s="612">
        <v>3015.8909090909092</v>
      </c>
      <c r="T31" s="612">
        <v>2191.2768666666666</v>
      </c>
      <c r="U31" s="612">
        <v>2779.5581393939397</v>
      </c>
      <c r="V31" s="612">
        <v>3300.1247736185383</v>
      </c>
      <c r="W31" s="612">
        <v>2698.5619393939392</v>
      </c>
      <c r="X31" s="612">
        <v>2419.6660666666662</v>
      </c>
      <c r="Z31" s="611"/>
      <c r="AB31" s="604" t="s">
        <v>473</v>
      </c>
      <c r="AC31" s="605" t="s">
        <v>123</v>
      </c>
      <c r="AD31" s="612">
        <f t="shared" ref="AD31:AD34" si="20">ROUND(LOOKUP(MID($AD$3,1,4),$E$134:$Y$134,E31:Y31),2)</f>
        <v>2419.67</v>
      </c>
      <c r="AF31" s="612">
        <v>2261.9297792462062</v>
      </c>
    </row>
    <row r="32" spans="2:35">
      <c r="B32" s="604" t="s">
        <v>474</v>
      </c>
      <c r="C32" s="605" t="s">
        <v>475</v>
      </c>
      <c r="E32" s="612">
        <v>7642.7983091787446</v>
      </c>
      <c r="F32" s="612">
        <v>9827.6030818582803</v>
      </c>
      <c r="G32" s="612">
        <v>20634.84783297903</v>
      </c>
      <c r="H32" s="612">
        <v>19103.140439328236</v>
      </c>
      <c r="I32" s="612">
        <v>15470.028115190664</v>
      </c>
      <c r="J32" s="612">
        <v>16797.159323308275</v>
      </c>
      <c r="K32" s="612">
        <v>17455.47000194099</v>
      </c>
      <c r="L32" s="612">
        <v>16431.089192708328</v>
      </c>
      <c r="M32" s="612">
        <v>15754.703125000004</v>
      </c>
      <c r="N32" s="612">
        <v>15148.020483193279</v>
      </c>
      <c r="O32" s="612">
        <v>13391.66666666667</v>
      </c>
      <c r="P32" s="612">
        <v>13153.496527777777</v>
      </c>
      <c r="Q32" s="612">
        <v>14179.87670068027</v>
      </c>
      <c r="R32" s="612">
        <v>14128.532196969698</v>
      </c>
      <c r="S32" s="612">
        <v>14457.880051517341</v>
      </c>
      <c r="T32" s="612">
        <v>17017.155601466668</v>
      </c>
      <c r="U32" s="612">
        <v>41262.87230769232</v>
      </c>
      <c r="V32" s="612">
        <v>26757.778461538463</v>
      </c>
      <c r="W32" s="612">
        <v>21687.518461538461</v>
      </c>
      <c r="X32" s="612">
        <v>22036.856842105266</v>
      </c>
      <c r="Z32" s="611"/>
      <c r="AB32" s="604" t="s">
        <v>474</v>
      </c>
      <c r="AC32" s="605" t="s">
        <v>475</v>
      </c>
      <c r="AD32" s="612">
        <f t="shared" si="20"/>
        <v>22036.86</v>
      </c>
      <c r="AF32" s="734">
        <v>23118.003214285716</v>
      </c>
      <c r="AI32" s="777" t="s">
        <v>554</v>
      </c>
    </row>
    <row r="33" spans="2:35">
      <c r="B33" s="604" t="s">
        <v>476</v>
      </c>
      <c r="C33" s="605" t="s">
        <v>475</v>
      </c>
      <c r="E33" s="612">
        <v>7590.5557528409081</v>
      </c>
      <c r="F33" s="612">
        <v>9490.8314440993781</v>
      </c>
      <c r="G33" s="612">
        <v>15997.362049062049</v>
      </c>
      <c r="H33" s="612">
        <v>16217.507971996389</v>
      </c>
      <c r="I33" s="612">
        <v>13368.127268145161</v>
      </c>
      <c r="J33" s="612">
        <v>14389.21122117033</v>
      </c>
      <c r="K33" s="612">
        <v>15410.658843537412</v>
      </c>
      <c r="L33" s="612">
        <v>15385.398391812865</v>
      </c>
      <c r="M33" s="612">
        <v>15160.11618165785</v>
      </c>
      <c r="N33" s="612">
        <v>14712.390243902442</v>
      </c>
      <c r="O33" s="612">
        <v>12321.25</v>
      </c>
      <c r="P33" s="612">
        <v>11839.471111111108</v>
      </c>
      <c r="Q33" s="612">
        <v>12665.560952380953</v>
      </c>
      <c r="R33" s="612">
        <v>13781.44791666667</v>
      </c>
      <c r="S33" s="612">
        <v>13663.955902406415</v>
      </c>
      <c r="T33" s="612">
        <v>19313.125875439226</v>
      </c>
      <c r="U33" s="612">
        <v>36226.307708219872</v>
      </c>
      <c r="V33" s="612">
        <v>19684.329545454544</v>
      </c>
      <c r="W33" s="612">
        <v>17446.69099829124</v>
      </c>
      <c r="X33" s="612">
        <v>17078.634427085675</v>
      </c>
      <c r="Z33" s="611"/>
      <c r="AB33" s="604" t="s">
        <v>476</v>
      </c>
      <c r="AC33" s="605" t="s">
        <v>475</v>
      </c>
      <c r="AD33" s="612">
        <f t="shared" si="20"/>
        <v>17078.63</v>
      </c>
      <c r="AF33" s="734">
        <v>19760.339473684202</v>
      </c>
      <c r="AI33" s="780">
        <v>19760.339473684202</v>
      </c>
    </row>
    <row r="34" spans="2:35">
      <c r="B34" s="604" t="s">
        <v>477</v>
      </c>
      <c r="C34" s="605" t="s">
        <v>475</v>
      </c>
      <c r="E34" s="612">
        <v>6845.0499999999993</v>
      </c>
      <c r="F34" s="612">
        <v>8614.8964803312629</v>
      </c>
      <c r="G34" s="612">
        <v>17695.846153846149</v>
      </c>
      <c r="H34" s="612">
        <v>14343.680357142855</v>
      </c>
      <c r="I34" s="612">
        <v>11602.587719298246</v>
      </c>
      <c r="J34" s="612">
        <v>13109.866977225674</v>
      </c>
      <c r="K34" s="612">
        <v>12585.618235967153</v>
      </c>
      <c r="L34" s="612">
        <v>11572.582393162391</v>
      </c>
      <c r="M34" s="612">
        <v>12136.809523809521</v>
      </c>
      <c r="N34" s="612">
        <v>10729.714285714286</v>
      </c>
      <c r="O34" s="612">
        <v>8710.7142857142862</v>
      </c>
      <c r="P34" s="612">
        <v>9365.3234126984116</v>
      </c>
      <c r="Q34" s="612">
        <v>9948.4158730158724</v>
      </c>
      <c r="R34" s="612">
        <v>10424.399999999998</v>
      </c>
      <c r="S34" s="612">
        <v>12040.622727272726</v>
      </c>
      <c r="T34" s="612">
        <v>21557.882965909084</v>
      </c>
      <c r="U34" s="612">
        <v>21118.067806323743</v>
      </c>
      <c r="V34" s="612">
        <v>11197.24076923077</v>
      </c>
      <c r="W34" s="612">
        <v>12703.43519230769</v>
      </c>
      <c r="X34" s="612">
        <v>14074.657884231538</v>
      </c>
      <c r="Z34" s="611"/>
      <c r="AB34" s="604" t="s">
        <v>477</v>
      </c>
      <c r="AC34" s="605" t="s">
        <v>475</v>
      </c>
      <c r="AD34" s="612">
        <f t="shared" si="20"/>
        <v>14074.66</v>
      </c>
      <c r="AF34" s="734">
        <v>19050</v>
      </c>
      <c r="AI34" s="780">
        <v>19050</v>
      </c>
    </row>
    <row r="35" spans="2:35" s="616" customFormat="1">
      <c r="B35" s="616" t="s">
        <v>398</v>
      </c>
      <c r="C35" s="617" t="s">
        <v>475</v>
      </c>
      <c r="E35" s="621">
        <f>SUM(E36*73%,E37*27%)</f>
        <v>1170.7590188745789</v>
      </c>
      <c r="F35" s="621">
        <f t="shared" ref="F35:X35" si="21">SUM(F36*73%,F37*27%)</f>
        <v>1525.3884474300119</v>
      </c>
      <c r="G35" s="621">
        <f t="shared" si="21"/>
        <v>1873.7755</v>
      </c>
      <c r="H35" s="621">
        <f t="shared" si="21"/>
        <v>2419.5166995926002</v>
      </c>
      <c r="I35" s="621">
        <f t="shared" si="21"/>
        <v>2426.4043674948243</v>
      </c>
      <c r="J35" s="621">
        <f t="shared" si="21"/>
        <v>2313.023544622426</v>
      </c>
      <c r="K35" s="621">
        <f t="shared" si="21"/>
        <v>2185.1804237405113</v>
      </c>
      <c r="L35" s="621">
        <f t="shared" si="21"/>
        <v>2292.3790833333333</v>
      </c>
      <c r="M35" s="621">
        <f t="shared" si="21"/>
        <v>2439.6818846153847</v>
      </c>
      <c r="N35" s="621">
        <f t="shared" si="21"/>
        <v>2727.4111600274719</v>
      </c>
      <c r="O35" s="621">
        <f t="shared" si="21"/>
        <v>2776.5147285714288</v>
      </c>
      <c r="P35" s="621">
        <f t="shared" si="21"/>
        <v>2754.8949118165783</v>
      </c>
      <c r="Q35" s="621">
        <f t="shared" si="21"/>
        <v>2817.0928956228963</v>
      </c>
      <c r="R35" s="621">
        <f t="shared" si="21"/>
        <v>3040.3940603693186</v>
      </c>
      <c r="S35" s="621">
        <f t="shared" si="21"/>
        <v>3135.2284923850266</v>
      </c>
      <c r="T35" s="621">
        <f t="shared" si="21"/>
        <v>3315.2941090909094</v>
      </c>
      <c r="U35" s="621">
        <f t="shared" si="21"/>
        <v>4038.9668714285713</v>
      </c>
      <c r="V35" s="621">
        <f t="shared" si="21"/>
        <v>4002.7709937062937</v>
      </c>
      <c r="W35" s="621">
        <f t="shared" si="21"/>
        <v>3863.7600531243752</v>
      </c>
      <c r="X35" s="621">
        <f t="shared" si="21"/>
        <v>3786.1452969647889</v>
      </c>
      <c r="Z35" s="619"/>
      <c r="AB35" s="616" t="s">
        <v>398</v>
      </c>
      <c r="AC35" s="617" t="s">
        <v>475</v>
      </c>
      <c r="AD35" s="621">
        <f>ROUND(LOOKUP(MID($AD$3,1,4),$E$134:$Y$134,E35:Y35),2)</f>
        <v>3786.15</v>
      </c>
      <c r="AF35" s="621">
        <f t="shared" ref="AF35" si="22">SUM(AF36*73%,AF37*27%)</f>
        <v>3605.0578613333337</v>
      </c>
      <c r="AG35" s="604"/>
      <c r="AI35" s="775"/>
    </row>
    <row r="36" spans="2:35">
      <c r="B36" s="604" t="s">
        <v>478</v>
      </c>
      <c r="C36" s="605" t="s">
        <v>475</v>
      </c>
      <c r="E36" s="612">
        <v>869.74559178743959</v>
      </c>
      <c r="F36" s="612">
        <v>1018.408002520479</v>
      </c>
      <c r="G36" s="612">
        <v>1287.7</v>
      </c>
      <c r="H36" s="612">
        <v>1648.9421224871435</v>
      </c>
      <c r="I36" s="612">
        <v>1641.8014492753621</v>
      </c>
      <c r="J36" s="612">
        <v>1528.4702517162473</v>
      </c>
      <c r="K36" s="612">
        <v>1492.1582125603866</v>
      </c>
      <c r="L36" s="612">
        <v>1705.9683333333335</v>
      </c>
      <c r="M36" s="612">
        <v>1772.6500000000003</v>
      </c>
      <c r="N36" s="612">
        <v>1998.2582589285712</v>
      </c>
      <c r="O36" s="612">
        <v>2038.5714285714287</v>
      </c>
      <c r="P36" s="612">
        <v>1999.6356261022927</v>
      </c>
      <c r="Q36" s="612">
        <v>2053.9638047138051</v>
      </c>
      <c r="R36" s="612">
        <v>2318.2585227272734</v>
      </c>
      <c r="S36" s="612">
        <v>2474.9978598930479</v>
      </c>
      <c r="T36" s="612">
        <v>2370.8399999999997</v>
      </c>
      <c r="U36" s="612">
        <v>3096.048571428571</v>
      </c>
      <c r="V36" s="612">
        <v>3061.977272727273</v>
      </c>
      <c r="W36" s="612">
        <v>2973.003452797202</v>
      </c>
      <c r="X36" s="612">
        <v>2993.2238908450704</v>
      </c>
      <c r="Z36" s="611"/>
      <c r="AB36" s="604" t="s">
        <v>478</v>
      </c>
      <c r="AC36" s="605" t="s">
        <v>475</v>
      </c>
      <c r="AD36" s="612">
        <f t="shared" ref="AD36:AD37" si="23">ROUND(LOOKUP(MID($AD$3,1,4),$E$134:$Y$134,E36:Y36),2)</f>
        <v>2993.22</v>
      </c>
      <c r="AF36" s="612">
        <v>2839.7933333333335</v>
      </c>
    </row>
    <row r="37" spans="2:35">
      <c r="B37" s="604" t="s">
        <v>479</v>
      </c>
      <c r="C37" s="605" t="s">
        <v>475</v>
      </c>
      <c r="E37" s="612">
        <v>1984.6101365546219</v>
      </c>
      <c r="F37" s="612">
        <v>2896.1133540372671</v>
      </c>
      <c r="G37" s="612">
        <v>3458.35</v>
      </c>
      <c r="H37" s="612">
        <v>4502.9220376925377</v>
      </c>
      <c r="I37" s="612">
        <v>4547.7381834215175</v>
      </c>
      <c r="J37" s="612">
        <v>4434.2231884057974</v>
      </c>
      <c r="K37" s="612">
        <v>4058.9071428571433</v>
      </c>
      <c r="L37" s="612">
        <v>3877.8599999999992</v>
      </c>
      <c r="M37" s="612">
        <v>4243.1384615384613</v>
      </c>
      <c r="N37" s="612">
        <v>4698.8245592948706</v>
      </c>
      <c r="O37" s="612">
        <v>4771.6947619047623</v>
      </c>
      <c r="P37" s="612">
        <v>4796.8922398589066</v>
      </c>
      <c r="Q37" s="612">
        <v>4880.3678451178457</v>
      </c>
      <c r="R37" s="612">
        <v>4992.8345880681818</v>
      </c>
      <c r="S37" s="612">
        <v>4920.2964987522282</v>
      </c>
      <c r="T37" s="612">
        <v>5868.8181818181838</v>
      </c>
      <c r="U37" s="612">
        <v>6588.3385714285714</v>
      </c>
      <c r="V37" s="612">
        <v>6546.3984615384616</v>
      </c>
      <c r="W37" s="612">
        <v>6272.1019725274728</v>
      </c>
      <c r="X37" s="612">
        <v>5929.9698394366205</v>
      </c>
      <c r="Z37" s="611"/>
      <c r="AB37" s="604" t="s">
        <v>479</v>
      </c>
      <c r="AC37" s="605" t="s">
        <v>475</v>
      </c>
      <c r="AD37" s="612">
        <f t="shared" si="23"/>
        <v>5929.97</v>
      </c>
      <c r="AF37" s="612">
        <v>5674.1063999999997</v>
      </c>
    </row>
    <row r="38" spans="2:35">
      <c r="B38" s="616" t="s">
        <v>22</v>
      </c>
      <c r="C38" s="617" t="s">
        <v>115</v>
      </c>
      <c r="E38" s="621">
        <f>SUM(E39*(ATOM!$F$13/ATOM!$V$13),E40*(ATOM!$F$15/ATOM!$V$13),E41*(ATOM!$F$19/ATOM!$V$13))</f>
        <v>26277.495084294853</v>
      </c>
      <c r="F38" s="621">
        <f>SUM(F39*(ATOM!$F$13/ATOM!$V$13),F40*(ATOM!$F$15/ATOM!$V$13),F41*(ATOM!$F$19/ATOM!$V$13))</f>
        <v>27552.493733276238</v>
      </c>
      <c r="G38" s="621">
        <f>SUM(G39*(ATOM!$F$13/ATOM!$V$13),G40*(ATOM!$F$15/ATOM!$V$13),G41*(ATOM!$F$19/ATOM!$V$13))</f>
        <v>28626.806285154071</v>
      </c>
      <c r="H38" s="621">
        <f>SUM(H39*(ATOM!$F$13/ATOM!$V$13),H40*(ATOM!$F$15/ATOM!$V$13),H41*(ATOM!$F$19/ATOM!$V$13))</f>
        <v>30582.43730917247</v>
      </c>
      <c r="I38" s="621">
        <f>SUM(I39*(ATOM!$F$13/ATOM!$V$13),I40*(ATOM!$F$15/ATOM!$V$13),I41*(ATOM!$F$19/ATOM!$V$13))</f>
        <v>31054.101597196706</v>
      </c>
      <c r="J38" s="621">
        <f>SUM(J39*(ATOM!$F$13/ATOM!$V$13),J40*(ATOM!$F$15/ATOM!$V$13),J41*(ATOM!$F$19/ATOM!$V$13))</f>
        <v>30053.535775714954</v>
      </c>
      <c r="K38" s="621">
        <f>SUM(K39*(ATOM!$F$13/ATOM!$V$13),K40*(ATOM!$F$15/ATOM!$V$13),K41*(ATOM!$F$19/ATOM!$V$13))</f>
        <v>29539.853139269486</v>
      </c>
      <c r="L38" s="621">
        <f>SUM(L39*(ATOM!$F$13/ATOM!$V$13),L40*(ATOM!$F$15/ATOM!$V$13),L41*(ATOM!$F$19/ATOM!$V$13))</f>
        <v>28596.600189699908</v>
      </c>
      <c r="M38" s="621">
        <f>SUM(M39*(ATOM!$F$13/ATOM!$V$13),M40*(ATOM!$F$15/ATOM!$V$13),M41*(ATOM!$F$19/ATOM!$V$13))</f>
        <v>30686.695461591607</v>
      </c>
      <c r="N38" s="621">
        <f>SUM(N39*(ATOM!$F$13/ATOM!$V$13),N40*(ATOM!$F$15/ATOM!$V$13),N41*(ATOM!$F$19/ATOM!$V$13))</f>
        <v>29093.136646981628</v>
      </c>
      <c r="O38" s="621">
        <f>SUM(O39*(ATOM!$F$13/ATOM!$V$13),O40*(ATOM!$F$15/ATOM!$V$13),O41*(ATOM!$F$19/ATOM!$V$13))</f>
        <v>30285.559846685836</v>
      </c>
      <c r="P38" s="621">
        <f>SUM(P39*(ATOM!$F$13/ATOM!$V$13),P40*(ATOM!$F$15/ATOM!$V$13),P41*(ATOM!$F$19/ATOM!$V$13))</f>
        <v>30492.899183825983</v>
      </c>
      <c r="Q38" s="621">
        <f>SUM(Q39*(ATOM!$F$13/ATOM!$V$13),Q40*(ATOM!$F$15/ATOM!$V$13),Q41*(ATOM!$F$19/ATOM!$V$13))</f>
        <v>30885.499087697463</v>
      </c>
      <c r="R38" s="621">
        <f>SUM(R39*(ATOM!$F$13/ATOM!$V$13),R40*(ATOM!$F$15/ATOM!$V$13),R41*(ATOM!$F$19/ATOM!$V$13))</f>
        <v>31602.322412223722</v>
      </c>
      <c r="S38" s="621">
        <f>SUM(S39*(ATOM!$F$13/ATOM!$V$13),S40*(ATOM!$F$15/ATOM!$V$13),S41*(ATOM!$F$19/ATOM!$V$13))</f>
        <v>31697.97545728663</v>
      </c>
      <c r="T38" s="621">
        <f>SUM(T39*(ATOM!$F$13/ATOM!$V$13),T40*(ATOM!$F$15/ATOM!$V$13),T41*(ATOM!$F$19/ATOM!$V$13))</f>
        <v>32373.321879652671</v>
      </c>
      <c r="U38" s="621">
        <f>SUM(U39*(ATOM!$F$13/ATOM!$V$13),U40*(ATOM!$F$15/ATOM!$V$13),U41*(ATOM!$F$19/ATOM!$V$13))</f>
        <v>35714.570282881308</v>
      </c>
      <c r="V38" s="621">
        <f>SUM(V39*(ATOM!$F$13/ATOM!$V$13),V40*(ATOM!$F$15/ATOM!$V$13),V41*(ATOM!$F$19/ATOM!$V$13))</f>
        <v>32739.894961457543</v>
      </c>
      <c r="W38" s="621">
        <f>SUM(W39*(ATOM!$F$13/ATOM!$V$13),W40*(ATOM!$F$15/ATOM!$V$13),W41*(ATOM!$F$19/ATOM!$V$13))</f>
        <v>30132.526340602057</v>
      </c>
      <c r="X38" s="621">
        <f>SUM(X39*(ATOM!$F$13/ATOM!$V$13),X40*(ATOM!$F$15/ATOM!$V$13),X41*(ATOM!$F$19/ATOM!$V$13))</f>
        <v>28124.61795686627</v>
      </c>
      <c r="Z38" s="611"/>
      <c r="AB38" s="616" t="s">
        <v>22</v>
      </c>
      <c r="AC38" s="617" t="s">
        <v>115</v>
      </c>
      <c r="AD38" s="621">
        <f>ROUND(LOOKUP(MID($AD$3,1,4),$E$134:$Y$134,E38:Y38),2)</f>
        <v>28124.62</v>
      </c>
      <c r="AF38" s="621">
        <f>SUM(AF39*(ATOM!$F$13/ATOM!$V$13),AF40*(ATOM!$F$15/ATOM!$V$13),AF41*(ATOM!$F$19/ATOM!$V$13))</f>
        <v>28896.997614690212</v>
      </c>
    </row>
    <row r="39" spans="2:35">
      <c r="B39" s="604" t="s">
        <v>323</v>
      </c>
      <c r="C39" s="605" t="s">
        <v>115</v>
      </c>
      <c r="E39" s="612">
        <v>29452.790313676629</v>
      </c>
      <c r="F39" s="612">
        <v>29938.223602484471</v>
      </c>
      <c r="G39" s="612">
        <v>31462.234890109889</v>
      </c>
      <c r="H39" s="612">
        <v>32975.758067689887</v>
      </c>
      <c r="I39" s="612">
        <v>32635.351587301589</v>
      </c>
      <c r="J39" s="612">
        <v>30926.262254901962</v>
      </c>
      <c r="K39" s="612">
        <v>31083.811700767263</v>
      </c>
      <c r="L39" s="612">
        <v>31299.214542483664</v>
      </c>
      <c r="M39" s="612">
        <v>33440.361111111109</v>
      </c>
      <c r="N39" s="612">
        <v>32849.8125</v>
      </c>
      <c r="O39" s="612">
        <v>34876.25</v>
      </c>
      <c r="P39" s="612">
        <v>34616.523809523816</v>
      </c>
      <c r="Q39" s="612">
        <v>34315.657029478461</v>
      </c>
      <c r="R39" s="612">
        <v>34052.786281179135</v>
      </c>
      <c r="S39" s="612">
        <v>33351.050310526312</v>
      </c>
      <c r="T39" s="612">
        <v>35195.097542091193</v>
      </c>
      <c r="U39" s="612">
        <v>39985</v>
      </c>
      <c r="V39" s="612">
        <v>36721.872999999992</v>
      </c>
      <c r="W39" s="612">
        <v>34365.55022222222</v>
      </c>
      <c r="X39" s="612">
        <v>32564.041139564659</v>
      </c>
      <c r="Z39" s="611"/>
      <c r="AB39" s="604" t="s">
        <v>323</v>
      </c>
      <c r="AC39" s="605" t="s">
        <v>115</v>
      </c>
      <c r="AD39" s="612">
        <f t="shared" ref="AD39:AD41" si="24">ROUND(LOOKUP(MID($AD$3,1,4),$E$134:$Y$134,E39:Y39),2)</f>
        <v>32564.04</v>
      </c>
      <c r="AF39" s="734">
        <v>31882.174545454549</v>
      </c>
    </row>
    <row r="40" spans="2:35">
      <c r="B40" s="604" t="s">
        <v>326</v>
      </c>
      <c r="C40" s="605" t="s">
        <v>115</v>
      </c>
      <c r="E40" s="612">
        <v>22139.765518907669</v>
      </c>
      <c r="F40" s="612">
        <v>22474.221273776198</v>
      </c>
      <c r="G40" s="612">
        <v>24496.820874854609</v>
      </c>
      <c r="H40" s="612">
        <v>25575.083115077003</v>
      </c>
      <c r="I40" s="612">
        <v>25016.350436510133</v>
      </c>
      <c r="J40" s="612">
        <v>24353.706478848235</v>
      </c>
      <c r="K40" s="612">
        <v>23655</v>
      </c>
      <c r="L40" s="612">
        <v>21859.375</v>
      </c>
      <c r="M40" s="612">
        <v>25511.645833333336</v>
      </c>
      <c r="N40" s="612">
        <v>24358.5</v>
      </c>
      <c r="O40" s="612">
        <v>24327.023809523809</v>
      </c>
      <c r="P40" s="612">
        <v>23415.267857142859</v>
      </c>
      <c r="Q40" s="612">
        <v>25747.311224489793</v>
      </c>
      <c r="R40" s="612">
        <v>29489.3</v>
      </c>
      <c r="S40" s="612">
        <v>29302.935829411766</v>
      </c>
      <c r="T40" s="612">
        <v>29829.258748961933</v>
      </c>
      <c r="U40" s="612">
        <v>29466.166666666668</v>
      </c>
      <c r="V40" s="612">
        <v>24499.988452380949</v>
      </c>
      <c r="W40" s="612">
        <v>20715.01484126984</v>
      </c>
      <c r="X40" s="612">
        <v>18733.542894366197</v>
      </c>
      <c r="Z40" s="611"/>
      <c r="AB40" s="604" t="s">
        <v>326</v>
      </c>
      <c r="AC40" s="605" t="s">
        <v>115</v>
      </c>
      <c r="AD40" s="612">
        <f t="shared" si="24"/>
        <v>18733.54</v>
      </c>
      <c r="AF40" s="734">
        <v>19756.647000000001</v>
      </c>
    </row>
    <row r="41" spans="2:35">
      <c r="B41" s="604" t="s">
        <v>480</v>
      </c>
      <c r="C41" s="605" t="s">
        <v>115</v>
      </c>
      <c r="E41" s="612">
        <v>26026.130153433998</v>
      </c>
      <c r="F41" s="612">
        <v>28151.058758398431</v>
      </c>
      <c r="G41" s="612">
        <v>28576.324491197076</v>
      </c>
      <c r="H41" s="612">
        <v>31148.091575453025</v>
      </c>
      <c r="I41" s="612">
        <v>32519.118908851837</v>
      </c>
      <c r="J41" s="612">
        <v>31808.681553445313</v>
      </c>
      <c r="K41" s="612">
        <v>30966.119378515916</v>
      </c>
      <c r="L41" s="612">
        <v>29668.26988846036</v>
      </c>
      <c r="M41" s="612">
        <v>31103.12857142857</v>
      </c>
      <c r="N41" s="612">
        <v>28731.5</v>
      </c>
      <c r="O41" s="612">
        <v>29912.714285714286</v>
      </c>
      <c r="P41" s="612">
        <v>30847.816964285714</v>
      </c>
      <c r="Q41" s="612">
        <v>30881.180194805194</v>
      </c>
      <c r="R41" s="612">
        <v>30976.454545454544</v>
      </c>
      <c r="S41" s="612">
        <v>31663.438065000002</v>
      </c>
      <c r="T41" s="612">
        <v>31696.942830040105</v>
      </c>
      <c r="U41" s="612">
        <v>35649.833333333336</v>
      </c>
      <c r="V41" s="612">
        <v>33644.532179487185</v>
      </c>
      <c r="W41" s="612">
        <v>31357.328066239315</v>
      </c>
      <c r="X41" s="612">
        <v>29214.974037558684</v>
      </c>
      <c r="Z41" s="611"/>
      <c r="AB41" s="604" t="s">
        <v>480</v>
      </c>
      <c r="AC41" s="605" t="s">
        <v>115</v>
      </c>
      <c r="AD41" s="612">
        <f t="shared" si="24"/>
        <v>29214.97</v>
      </c>
      <c r="AF41" s="734">
        <v>30759.91</v>
      </c>
    </row>
    <row r="42" spans="2:35">
      <c r="B42" s="616" t="s">
        <v>274</v>
      </c>
      <c r="C42" s="617" t="s">
        <v>122</v>
      </c>
      <c r="E42" s="622">
        <f>SUM(E43*(ATOM!$F$12/ATOM!$V$12),E44*(ATOM!$F$18/ATOM!$V$12))</f>
        <v>59559.798526706829</v>
      </c>
      <c r="F42" s="622">
        <f>SUM(F43*(ATOM!$F$12/ATOM!$V$12),F44*(ATOM!$F$18/ATOM!$V$12))</f>
        <v>73669.713915772838</v>
      </c>
      <c r="G42" s="622">
        <f>SUM(G43*(ATOM!$F$12/ATOM!$V$12),G44*(ATOM!$F$18/ATOM!$V$12))</f>
        <v>75624.480516443102</v>
      </c>
      <c r="H42" s="622">
        <f>SUM(H43*(ATOM!$F$12/ATOM!$V$12),H44*(ATOM!$F$18/ATOM!$V$12))</f>
        <v>76240.515099799144</v>
      </c>
      <c r="I42" s="622">
        <f>SUM(I43*(ATOM!$F$12/ATOM!$V$12),I44*(ATOM!$F$18/ATOM!$V$12))</f>
        <v>80724.140695161506</v>
      </c>
      <c r="J42" s="622">
        <f>SUM(J43*(ATOM!$F$12/ATOM!$V$12),J44*(ATOM!$F$18/ATOM!$V$12))</f>
        <v>81287.114562822739</v>
      </c>
      <c r="K42" s="622">
        <f>SUM(K43*(ATOM!$F$12/ATOM!$V$12),K44*(ATOM!$F$18/ATOM!$V$12))</f>
        <v>83163.808111424863</v>
      </c>
      <c r="L42" s="622">
        <f>SUM(L43*(ATOM!$F$12/ATOM!$V$12),L44*(ATOM!$F$18/ATOM!$V$12))</f>
        <v>81853.161725097481</v>
      </c>
      <c r="M42" s="622">
        <f>SUM(M43*(ATOM!$F$12/ATOM!$V$12),M44*(ATOM!$F$18/ATOM!$V$12))</f>
        <v>87686.680863594782</v>
      </c>
      <c r="N42" s="622">
        <f>SUM(N43*(ATOM!$F$12/ATOM!$V$12),N44*(ATOM!$F$18/ATOM!$V$12))</f>
        <v>87556.963276265742</v>
      </c>
      <c r="O42" s="622">
        <f>SUM(O43*(ATOM!$F$12/ATOM!$V$12),O44*(ATOM!$F$18/ATOM!$V$12))</f>
        <v>90863.591623394212</v>
      </c>
      <c r="P42" s="622">
        <f>SUM(P43*(ATOM!$F$12/ATOM!$V$12),P44*(ATOM!$F$18/ATOM!$V$12))</f>
        <v>90828.008324774302</v>
      </c>
      <c r="Q42" s="622">
        <f>SUM(Q43*(ATOM!$F$12/ATOM!$V$12),Q44*(ATOM!$F$18/ATOM!$V$12))</f>
        <v>90915.447226729346</v>
      </c>
      <c r="R42" s="622">
        <f>SUM(R43*(ATOM!$F$12/ATOM!$V$12),R44*(ATOM!$F$18/ATOM!$V$12))</f>
        <v>90714.901021179248</v>
      </c>
      <c r="S42" s="622">
        <f>SUM(S43*(ATOM!$F$12/ATOM!$V$12),S44*(ATOM!$F$18/ATOM!$V$12))</f>
        <v>110915.65000151054</v>
      </c>
      <c r="T42" s="622">
        <f>SUM(T43*(ATOM!$F$12/ATOM!$V$12),T44*(ATOM!$F$18/ATOM!$V$12))</f>
        <v>116269.42758634826</v>
      </c>
      <c r="U42" s="622">
        <f>SUM(U43*(ATOM!$F$12/ATOM!$V$12),U44*(ATOM!$F$18/ATOM!$V$12))</f>
        <v>119403.19460641398</v>
      </c>
      <c r="V42" s="622">
        <f>SUM(V43*(ATOM!$F$12/ATOM!$V$12),V44*(ATOM!$F$18/ATOM!$V$12))</f>
        <v>125310.48443053373</v>
      </c>
      <c r="W42" s="622">
        <f>SUM(W43*(ATOM!$F$12/ATOM!$V$12),W44*(ATOM!$F$18/ATOM!$V$12))</f>
        <v>124434.16658885586</v>
      </c>
      <c r="X42" s="622">
        <f>SUM(X43*(ATOM!$F$12/ATOM!$V$12),X44*(ATOM!$F$18/ATOM!$V$12))</f>
        <v>106665.9597978293</v>
      </c>
      <c r="Z42" s="611"/>
      <c r="AB42" s="616" t="s">
        <v>274</v>
      </c>
      <c r="AC42" s="617" t="s">
        <v>122</v>
      </c>
      <c r="AD42" s="621">
        <f>ROUND(LOOKUP(MID($AD$3,1,4),$E$134:$Y$134,E42:Y42),2)</f>
        <v>106665.96</v>
      </c>
      <c r="AF42" s="621">
        <f>SUM(AF43*(ATOM!$F$12/ATOM!$V$12),AF44*(ATOM!$F$18/ATOM!$V$12))</f>
        <v>97424.273717849035</v>
      </c>
    </row>
    <row r="43" spans="2:35">
      <c r="B43" s="604" t="s">
        <v>321</v>
      </c>
      <c r="C43" s="605" t="s">
        <v>123</v>
      </c>
      <c r="E43" s="623">
        <v>82193.077914399983</v>
      </c>
      <c r="F43" s="623">
        <v>101664.892857143</v>
      </c>
      <c r="G43" s="623">
        <v>103350</v>
      </c>
      <c r="H43" s="623">
        <v>101470.25194943517</v>
      </c>
      <c r="I43" s="623">
        <v>107437.612193694</v>
      </c>
      <c r="J43" s="623">
        <v>108186.88703946014</v>
      </c>
      <c r="K43" s="623">
        <v>110684.62157023115</v>
      </c>
      <c r="L43" s="623">
        <v>108940.25220358705</v>
      </c>
      <c r="M43" s="623">
        <v>116704.21675655915</v>
      </c>
      <c r="N43" s="623">
        <v>116531.57264140173</v>
      </c>
      <c r="O43" s="623">
        <v>120932.44022535057</v>
      </c>
      <c r="P43" s="623">
        <v>120885.08159626173</v>
      </c>
      <c r="Q43" s="623">
        <v>121001.45603838016</v>
      </c>
      <c r="R43" s="623">
        <v>120734.54448908074</v>
      </c>
      <c r="S43" s="623">
        <v>147620.18509523809</v>
      </c>
      <c r="T43" s="623">
        <v>154745.65060007639</v>
      </c>
      <c r="U43" s="623">
        <v>156482</v>
      </c>
      <c r="V43" s="623">
        <v>170428.07692307691</v>
      </c>
      <c r="W43" s="623">
        <v>172469.27521367522</v>
      </c>
      <c r="X43" s="623">
        <v>147963.49376056337</v>
      </c>
      <c r="Z43" s="611"/>
      <c r="AB43" s="604" t="s">
        <v>321</v>
      </c>
      <c r="AC43" s="605" t="s">
        <v>123</v>
      </c>
      <c r="AD43" s="612">
        <f t="shared" ref="AD43:AD52" si="25">ROUND(LOOKUP(MID($AD$3,1,4),$E$134:$Y$134,E43:Y43),2)</f>
        <v>147963.49</v>
      </c>
      <c r="AF43" s="734">
        <v>134019.83799999999</v>
      </c>
    </row>
    <row r="44" spans="2:35">
      <c r="B44" s="604" t="s">
        <v>328</v>
      </c>
      <c r="C44" s="605" t="s">
        <v>115</v>
      </c>
      <c r="E44" s="623">
        <v>14392.075032489505</v>
      </c>
      <c r="F44" s="623">
        <v>17801.605722732835</v>
      </c>
      <c r="G44" s="623">
        <v>20294.513686812101</v>
      </c>
      <c r="H44" s="623">
        <v>25891.214923887946</v>
      </c>
      <c r="I44" s="623">
        <v>27413.850412063945</v>
      </c>
      <c r="J44" s="623">
        <v>27605.035864904461</v>
      </c>
      <c r="K44" s="623">
        <v>28242.359418523254</v>
      </c>
      <c r="L44" s="623">
        <v>27797.265006015688</v>
      </c>
      <c r="M44" s="623">
        <v>29778.323208203063</v>
      </c>
      <c r="N44" s="623">
        <v>29734.27122444419</v>
      </c>
      <c r="O44" s="623">
        <v>30857.19943521055</v>
      </c>
      <c r="P44" s="623">
        <v>30845.115376871458</v>
      </c>
      <c r="Q44" s="623">
        <v>30874.809554570329</v>
      </c>
      <c r="R44" s="623">
        <v>30806.704231524291</v>
      </c>
      <c r="S44" s="623">
        <v>37666.861626691811</v>
      </c>
      <c r="T44" s="623">
        <v>39485</v>
      </c>
      <c r="U44" s="623">
        <v>45407.5</v>
      </c>
      <c r="V44" s="623">
        <v>35272.319499999998</v>
      </c>
      <c r="W44" s="623">
        <v>28573.709638888889</v>
      </c>
      <c r="X44" s="623">
        <v>24251.230448617633</v>
      </c>
      <c r="Z44" s="611"/>
      <c r="AB44" s="604" t="s">
        <v>328</v>
      </c>
      <c r="AC44" s="605" t="s">
        <v>115</v>
      </c>
      <c r="AD44" s="612">
        <f t="shared" si="25"/>
        <v>24251.23</v>
      </c>
      <c r="AF44" s="734">
        <v>24392.95111111111</v>
      </c>
    </row>
    <row r="45" spans="2:35">
      <c r="B45" s="604" t="s">
        <v>501</v>
      </c>
      <c r="C45" s="605" t="s">
        <v>123</v>
      </c>
      <c r="E45" s="612">
        <v>4515.8623263888894</v>
      </c>
      <c r="F45" s="612">
        <v>5365.579710144927</v>
      </c>
      <c r="G45" s="612">
        <v>5937.25</v>
      </c>
      <c r="H45" s="612">
        <v>7995.8064516129025</v>
      </c>
      <c r="I45" s="612">
        <v>8326.4345454545437</v>
      </c>
      <c r="J45" s="612">
        <v>8213.8474999999999</v>
      </c>
      <c r="K45" s="612">
        <v>8566.4583333333321</v>
      </c>
      <c r="L45" s="612">
        <v>8376.2026851851861</v>
      </c>
      <c r="M45" s="612">
        <v>8899.5925925925931</v>
      </c>
      <c r="N45" s="612">
        <v>8845</v>
      </c>
      <c r="O45" s="612">
        <v>8823.730158730159</v>
      </c>
      <c r="P45" s="612">
        <v>8859.3611111111113</v>
      </c>
      <c r="Q45" s="612">
        <v>8611.4179894179888</v>
      </c>
      <c r="R45" s="612">
        <v>8184.2433862433863</v>
      </c>
      <c r="S45" s="612">
        <v>10990.176519999999</v>
      </c>
      <c r="T45" s="612">
        <v>11646.086318642532</v>
      </c>
      <c r="U45" s="612">
        <v>11353</v>
      </c>
      <c r="V45" s="612">
        <v>11039.5</v>
      </c>
      <c r="W45" s="612">
        <v>10605.934523809523</v>
      </c>
      <c r="X45" s="612">
        <v>10520.342767514176</v>
      </c>
      <c r="Z45" s="611"/>
      <c r="AB45" s="604" t="s">
        <v>501</v>
      </c>
      <c r="AC45" s="605" t="s">
        <v>123</v>
      </c>
      <c r="AD45" s="612">
        <f t="shared" si="25"/>
        <v>10520.34</v>
      </c>
      <c r="AF45" s="734">
        <v>11663.038181818181</v>
      </c>
      <c r="AH45" s="605"/>
    </row>
    <row r="46" spans="2:35">
      <c r="B46" s="604" t="s">
        <v>502</v>
      </c>
      <c r="C46" s="605" t="s">
        <v>503</v>
      </c>
      <c r="E46" s="612">
        <v>4012.6807894380036</v>
      </c>
      <c r="F46" s="612">
        <v>4963.2982835000903</v>
      </c>
      <c r="G46" s="612">
        <v>5658.3505170880881</v>
      </c>
      <c r="H46" s="612">
        <v>7218.7770356784013</v>
      </c>
      <c r="I46" s="612">
        <v>7643.3058238432532</v>
      </c>
      <c r="J46" s="612">
        <v>7696.6105899802615</v>
      </c>
      <c r="K46" s="612">
        <v>7874.3039368040745</v>
      </c>
      <c r="L46" s="612">
        <v>7750.2063487548585</v>
      </c>
      <c r="M46" s="612">
        <v>8027.0069993544084</v>
      </c>
      <c r="N46" s="612">
        <v>8034.1832491718933</v>
      </c>
      <c r="O46" s="612">
        <v>8186.8920713492507</v>
      </c>
      <c r="P46" s="612">
        <v>8631.4952543259042</v>
      </c>
      <c r="Q46" s="612">
        <v>8962.034959162067</v>
      </c>
      <c r="R46" s="612">
        <v>9254.1444591252894</v>
      </c>
      <c r="S46" s="612">
        <v>10297.12549315817</v>
      </c>
      <c r="T46" s="612">
        <v>10611.329095138864</v>
      </c>
      <c r="U46" s="612">
        <v>11129.948648012229</v>
      </c>
      <c r="V46" s="612">
        <v>11372.321415560022</v>
      </c>
      <c r="W46" s="612">
        <v>11464.637563377355</v>
      </c>
      <c r="X46" s="612">
        <v>10538.46795231264</v>
      </c>
      <c r="Z46" s="611"/>
      <c r="AB46" s="604" t="s">
        <v>502</v>
      </c>
      <c r="AC46" s="605" t="s">
        <v>503</v>
      </c>
      <c r="AD46" s="612">
        <f t="shared" si="25"/>
        <v>10538.47</v>
      </c>
      <c r="AF46" s="734">
        <v>10587.148831018518</v>
      </c>
      <c r="AH46" s="605"/>
    </row>
    <row r="47" spans="2:35">
      <c r="B47" s="604" t="s">
        <v>552</v>
      </c>
      <c r="C47" s="605" t="s">
        <v>115</v>
      </c>
      <c r="E47" s="612">
        <v>2404.7853824633767</v>
      </c>
      <c r="F47" s="612">
        <v>2446.8209959038336</v>
      </c>
      <c r="G47" s="612">
        <v>2649.0627909055142</v>
      </c>
      <c r="H47" s="612">
        <v>2978.65629523494</v>
      </c>
      <c r="I47" s="612">
        <v>3256.1551912262735</v>
      </c>
      <c r="J47" s="612">
        <v>3329.5258849699117</v>
      </c>
      <c r="K47" s="612">
        <v>3314.731952598207</v>
      </c>
      <c r="L47" s="612">
        <v>4430.2981009258501</v>
      </c>
      <c r="M47" s="612">
        <v>4895.0272138363698</v>
      </c>
      <c r="N47" s="612">
        <v>5019.919756102865</v>
      </c>
      <c r="O47" s="612">
        <v>5322.171271119063</v>
      </c>
      <c r="P47" s="612">
        <v>5442.1896815638265</v>
      </c>
      <c r="Q47" s="612">
        <v>5563.7432779283945</v>
      </c>
      <c r="R47" s="612">
        <v>5775.5071330384371</v>
      </c>
      <c r="S47" s="612">
        <v>6332.4257126984121</v>
      </c>
      <c r="T47" s="612">
        <v>8201.6094206816069</v>
      </c>
      <c r="U47" s="612">
        <v>9561.941960784312</v>
      </c>
      <c r="V47" s="612">
        <v>10672.4</v>
      </c>
      <c r="W47" s="612">
        <v>11565.5</v>
      </c>
      <c r="X47" s="612">
        <v>12025.820857785602</v>
      </c>
      <c r="Z47" s="611"/>
      <c r="AB47" s="604" t="s">
        <v>552</v>
      </c>
      <c r="AC47" s="605" t="s">
        <v>115</v>
      </c>
      <c r="AD47" s="612">
        <f t="shared" si="25"/>
        <v>12025.82</v>
      </c>
      <c r="AF47" s="734">
        <v>11518.293750000001</v>
      </c>
    </row>
    <row r="48" spans="2:35">
      <c r="B48" s="604" t="s">
        <v>366</v>
      </c>
      <c r="C48" s="605" t="s">
        <v>115</v>
      </c>
      <c r="E48" s="612">
        <v>4071.0513440048321</v>
      </c>
      <c r="F48" s="612">
        <v>4188.7346938775509</v>
      </c>
      <c r="G48" s="612">
        <v>4328.9471247830734</v>
      </c>
      <c r="H48" s="612">
        <v>4710</v>
      </c>
      <c r="I48" s="612">
        <v>5155</v>
      </c>
      <c r="J48" s="612">
        <v>5260</v>
      </c>
      <c r="K48" s="612">
        <v>4043.75</v>
      </c>
      <c r="L48" s="612">
        <v>4457.7777777777774</v>
      </c>
      <c r="M48" s="612">
        <v>5326</v>
      </c>
      <c r="N48" s="612">
        <v>5238.8</v>
      </c>
      <c r="O48" s="612">
        <v>5440.909090909091</v>
      </c>
      <c r="P48" s="612">
        <v>5838.5</v>
      </c>
      <c r="Q48" s="612">
        <v>5465.3269230769229</v>
      </c>
      <c r="R48" s="612">
        <v>5092.1538461538457</v>
      </c>
      <c r="S48" s="612">
        <v>5536.8094438592798</v>
      </c>
      <c r="T48" s="612">
        <v>6341.4622222222224</v>
      </c>
      <c r="U48" s="612">
        <v>7995.6963064382317</v>
      </c>
      <c r="V48" s="612">
        <v>8349.3573927411617</v>
      </c>
      <c r="W48" s="612">
        <v>8960.3762652875539</v>
      </c>
      <c r="X48" s="612">
        <v>8703.3724505204627</v>
      </c>
      <c r="Z48" s="611"/>
      <c r="AB48" s="604" t="s">
        <v>366</v>
      </c>
      <c r="AC48" s="605" t="s">
        <v>115</v>
      </c>
      <c r="AD48" s="612">
        <f t="shared" si="25"/>
        <v>8703.3700000000008</v>
      </c>
      <c r="AF48" s="734">
        <v>8260.2478655303021</v>
      </c>
    </row>
    <row r="49" spans="2:35">
      <c r="B49" s="604" t="s">
        <v>24</v>
      </c>
      <c r="C49" s="605" t="s">
        <v>115</v>
      </c>
      <c r="E49" s="612">
        <v>2240.3826087633415</v>
      </c>
      <c r="F49" s="612">
        <v>2854.9117708160798</v>
      </c>
      <c r="G49" s="612">
        <v>5792.7895687496448</v>
      </c>
      <c r="H49" s="612">
        <v>2907.8082906731684</v>
      </c>
      <c r="I49" s="612">
        <v>2181.8526056227438</v>
      </c>
      <c r="J49" s="612">
        <v>2091.0580730042016</v>
      </c>
      <c r="K49" s="612">
        <v>2322.1888168406385</v>
      </c>
      <c r="L49" s="612">
        <v>2617.103648969025</v>
      </c>
      <c r="M49" s="612">
        <v>3036.6106914555362</v>
      </c>
      <c r="N49" s="612">
        <v>2908.6634834389197</v>
      </c>
      <c r="O49" s="612">
        <v>2937.798427357643</v>
      </c>
      <c r="P49" s="612">
        <v>3016.2872528236157</v>
      </c>
      <c r="Q49" s="612">
        <v>3060.8524432657437</v>
      </c>
      <c r="R49" s="612">
        <v>3041.086852948134</v>
      </c>
      <c r="S49" s="612">
        <v>3284.9765644385279</v>
      </c>
      <c r="T49" s="612">
        <v>4240.229277733255</v>
      </c>
      <c r="U49" s="612">
        <v>4918.3828343396435</v>
      </c>
      <c r="V49" s="612">
        <v>5002.5754192714649</v>
      </c>
      <c r="W49" s="612">
        <v>3375.7772127995577</v>
      </c>
      <c r="X49" s="612">
        <v>3231.9443123248129</v>
      </c>
      <c r="Z49" s="611"/>
      <c r="AB49" s="604" t="s">
        <v>24</v>
      </c>
      <c r="AC49" s="605" t="s">
        <v>115</v>
      </c>
      <c r="AD49" s="612">
        <f t="shared" si="25"/>
        <v>3231.94</v>
      </c>
      <c r="AF49" s="734">
        <v>2933.2215307388365</v>
      </c>
    </row>
    <row r="50" spans="2:35">
      <c r="B50" s="604" t="s">
        <v>549</v>
      </c>
      <c r="C50" s="605" t="s">
        <v>115</v>
      </c>
      <c r="E50" s="620">
        <v>3568.6791726769479</v>
      </c>
      <c r="F50" s="620">
        <v>4547.5554650753966</v>
      </c>
      <c r="G50" s="620">
        <v>9227.2665413646082</v>
      </c>
      <c r="H50" s="620">
        <v>4631.8137109583549</v>
      </c>
      <c r="I50" s="620">
        <v>3475.4474173653571</v>
      </c>
      <c r="J50" s="620">
        <v>3330.8218715852186</v>
      </c>
      <c r="K50" s="620">
        <v>3698.9873217489826</v>
      </c>
      <c r="L50" s="620">
        <v>4168.7536978194667</v>
      </c>
      <c r="M50" s="620">
        <v>4836.9815440172579</v>
      </c>
      <c r="N50" s="620">
        <v>4633.1759374815501</v>
      </c>
      <c r="O50" s="620">
        <v>4679.5846478300255</v>
      </c>
      <c r="P50" s="620">
        <v>4804.6085770609816</v>
      </c>
      <c r="Q50" s="620">
        <v>4875.5959460644353</v>
      </c>
      <c r="R50" s="620">
        <v>4844.1115691431851</v>
      </c>
      <c r="S50" s="620">
        <v>5232.600629191008</v>
      </c>
      <c r="T50" s="620">
        <v>6754.2114688947458</v>
      </c>
      <c r="U50" s="620">
        <v>7834.4343129177514</v>
      </c>
      <c r="V50" s="620">
        <v>7968.5436936836886</v>
      </c>
      <c r="W50" s="620">
        <v>8635.3764935064937</v>
      </c>
      <c r="X50" s="612">
        <v>7745.9637946428575</v>
      </c>
      <c r="Z50" s="611"/>
      <c r="AB50" s="604" t="s">
        <v>549</v>
      </c>
      <c r="AC50" s="605" t="s">
        <v>115</v>
      </c>
      <c r="AD50" s="612">
        <f t="shared" si="25"/>
        <v>7745.96</v>
      </c>
      <c r="AF50" s="612">
        <v>7519.7119047619035</v>
      </c>
    </row>
    <row r="51" spans="2:35">
      <c r="B51" s="604" t="s">
        <v>367</v>
      </c>
      <c r="C51" s="605" t="s">
        <v>115</v>
      </c>
      <c r="E51" s="612">
        <v>2216.6371557786679</v>
      </c>
      <c r="F51" s="612">
        <v>2280.7142857142858</v>
      </c>
      <c r="G51" s="612">
        <v>2250.483464332</v>
      </c>
      <c r="H51" s="612">
        <v>2581.20661254058</v>
      </c>
      <c r="I51" s="612">
        <v>4441.2164984485853</v>
      </c>
      <c r="J51" s="612">
        <v>4019.8860312392512</v>
      </c>
      <c r="K51" s="612">
        <v>4096.6015860939406</v>
      </c>
      <c r="L51" s="612">
        <v>3027.6864730279494</v>
      </c>
      <c r="M51" s="612">
        <v>4459.727272727273</v>
      </c>
      <c r="N51" s="612">
        <v>4639.272727272727</v>
      </c>
      <c r="O51" s="612">
        <v>5021.1152073732719</v>
      </c>
      <c r="P51" s="612">
        <v>4715.2</v>
      </c>
      <c r="Q51" s="612">
        <v>4355.9750000000004</v>
      </c>
      <c r="R51" s="612">
        <v>3996.75</v>
      </c>
      <c r="S51" s="612">
        <v>4019.760583058307</v>
      </c>
      <c r="T51" s="612">
        <v>4604.2630769230764</v>
      </c>
      <c r="U51" s="612">
        <v>5443.2451735734321</v>
      </c>
      <c r="V51" s="612">
        <v>5910.2255765038353</v>
      </c>
      <c r="W51" s="612">
        <v>6331.2278084415584</v>
      </c>
      <c r="X51" s="612">
        <v>5843.1226559356137</v>
      </c>
      <c r="Z51" s="611"/>
      <c r="AB51" s="604" t="s">
        <v>367</v>
      </c>
      <c r="AC51" s="605" t="s">
        <v>115</v>
      </c>
      <c r="AD51" s="612">
        <f t="shared" si="25"/>
        <v>5843.12</v>
      </c>
      <c r="AF51" s="612">
        <v>5650.9171428571426</v>
      </c>
      <c r="AI51" s="625"/>
    </row>
    <row r="52" spans="2:35">
      <c r="B52" s="604" t="s">
        <v>383</v>
      </c>
      <c r="C52" s="605" t="s">
        <v>115</v>
      </c>
      <c r="E52" s="612">
        <v>8197.2746153741682</v>
      </c>
      <c r="F52" s="612">
        <v>8364.0046378739717</v>
      </c>
      <c r="G52" s="612">
        <v>9172.0781489771398</v>
      </c>
      <c r="H52" s="612">
        <v>11259.963070381542</v>
      </c>
      <c r="I52" s="612">
        <v>11203.719788474706</v>
      </c>
      <c r="J52" s="612">
        <v>12618.218425609028</v>
      </c>
      <c r="K52" s="612">
        <v>11415.33839357611</v>
      </c>
      <c r="L52" s="612">
        <v>11472.830142444109</v>
      </c>
      <c r="M52" s="612">
        <v>11472.830142444109</v>
      </c>
      <c r="N52" s="612">
        <v>14452.708306242012</v>
      </c>
      <c r="O52" s="612">
        <v>14017.235701198522</v>
      </c>
      <c r="P52" s="612">
        <v>13375.001015447127</v>
      </c>
      <c r="Q52" s="612">
        <v>12839.642857142859</v>
      </c>
      <c r="R52" s="612">
        <v>14293.790476190477</v>
      </c>
      <c r="S52" s="612">
        <v>14125.617793522268</v>
      </c>
      <c r="T52" s="612">
        <v>15165.593203007522</v>
      </c>
      <c r="U52" s="612">
        <v>15272.919835164836</v>
      </c>
      <c r="V52" s="612">
        <v>15330.761904761905</v>
      </c>
      <c r="W52" s="612">
        <v>12177.865760555236</v>
      </c>
      <c r="X52" s="612">
        <v>11386.732142857145</v>
      </c>
      <c r="Z52" s="611"/>
      <c r="AB52" s="604" t="s">
        <v>383</v>
      </c>
      <c r="AC52" s="605" t="s">
        <v>115</v>
      </c>
      <c r="AD52" s="612">
        <f t="shared" si="25"/>
        <v>11386.73</v>
      </c>
      <c r="AF52" s="612">
        <v>11188.943798185941</v>
      </c>
    </row>
    <row r="53" spans="2:35">
      <c r="Z53" s="611"/>
      <c r="AC53" s="605"/>
    </row>
    <row r="54" spans="2:35">
      <c r="B54" s="608" t="s">
        <v>481</v>
      </c>
      <c r="Z54" s="611"/>
      <c r="AB54" s="608" t="s">
        <v>481</v>
      </c>
      <c r="AC54" s="605"/>
    </row>
    <row r="55" spans="2:35">
      <c r="Z55" s="611"/>
      <c r="AC55" s="605"/>
    </row>
    <row r="56" spans="2:35">
      <c r="B56" s="616" t="s">
        <v>482</v>
      </c>
      <c r="Z56" s="611"/>
      <c r="AB56" s="616" t="s">
        <v>482</v>
      </c>
      <c r="AC56" s="605"/>
    </row>
    <row r="57" spans="2:35">
      <c r="B57" s="624" t="s">
        <v>483</v>
      </c>
      <c r="C57" s="605" t="s">
        <v>123</v>
      </c>
      <c r="E57" s="612">
        <v>5.6112129352432722</v>
      </c>
      <c r="F57" s="612">
        <v>6.2292291939837137</v>
      </c>
      <c r="G57" s="612">
        <v>7.0996565043899409</v>
      </c>
      <c r="H57" s="612">
        <v>7.5302351925666597</v>
      </c>
      <c r="I57" s="612">
        <v>8.9003434591685338</v>
      </c>
      <c r="J57" s="612">
        <v>9.2704438855896143</v>
      </c>
      <c r="K57" s="612">
        <v>9.9134374220111141</v>
      </c>
      <c r="L57" s="612">
        <v>10.707731036491642</v>
      </c>
      <c r="M57" s="612">
        <v>11.010542513592412</v>
      </c>
      <c r="N57" s="612">
        <v>11.327126696142617</v>
      </c>
      <c r="O57" s="612">
        <v>11.045666777219692</v>
      </c>
      <c r="P57" s="612">
        <v>11.124461303049266</v>
      </c>
      <c r="Q57" s="612">
        <v>11.593397112435056</v>
      </c>
      <c r="R57" s="612">
        <v>12.206500713203933</v>
      </c>
      <c r="S57" s="612">
        <v>12.577418987999273</v>
      </c>
      <c r="T57" s="612">
        <v>12.57886402453601</v>
      </c>
      <c r="U57" s="612">
        <v>13.904195250912103</v>
      </c>
      <c r="V57" s="612">
        <v>15.483654069450738</v>
      </c>
      <c r="W57" s="612">
        <v>14.914965354091173</v>
      </c>
      <c r="X57" s="612">
        <v>14.31885595665929</v>
      </c>
      <c r="Z57" s="611"/>
      <c r="AB57" s="624" t="s">
        <v>483</v>
      </c>
      <c r="AC57" s="605" t="s">
        <v>123</v>
      </c>
      <c r="AD57" s="612">
        <f>ROUND(LOOKUP(MID($AD$3,1,4),$E$134:$Y$134,E57:Y57),4)</f>
        <v>14.318899999999999</v>
      </c>
      <c r="AF57" s="612">
        <v>14.757300000000001</v>
      </c>
    </row>
    <row r="58" spans="2:35">
      <c r="B58" s="624" t="s">
        <v>484</v>
      </c>
      <c r="C58" s="605" t="s">
        <v>123</v>
      </c>
      <c r="E58" s="612">
        <v>3.9373294138943065</v>
      </c>
      <c r="F58" s="612">
        <v>4.3709849571584396</v>
      </c>
      <c r="G58" s="612">
        <v>4.9817546947304763</v>
      </c>
      <c r="H58" s="612">
        <v>5.2838872556436582</v>
      </c>
      <c r="I58" s="612">
        <v>6.2452778926713055</v>
      </c>
      <c r="J58" s="612">
        <v>6.5049734900153346</v>
      </c>
      <c r="K58" s="612">
        <v>6.9561553277237502</v>
      </c>
      <c r="L58" s="612">
        <v>7.5135028473517904</v>
      </c>
      <c r="M58" s="612">
        <v>7.7259824929138334</v>
      </c>
      <c r="N58" s="612">
        <v>7.9481263018039812</v>
      </c>
      <c r="O58" s="612">
        <v>7.7506288212419649</v>
      </c>
      <c r="P58" s="612">
        <v>7.8059181156927355</v>
      </c>
      <c r="Q58" s="612">
        <v>8.1349654672780414</v>
      </c>
      <c r="R58" s="612">
        <v>8.5651738498382297</v>
      </c>
      <c r="S58" s="612">
        <v>8.8254433228304006</v>
      </c>
      <c r="T58" s="612">
        <v>8.8264572898507048</v>
      </c>
      <c r="U58" s="612">
        <v>9.7564283461954009</v>
      </c>
      <c r="V58" s="612">
        <v>10.864718075356659</v>
      </c>
      <c r="W58" s="612">
        <v>10.465675153233459</v>
      </c>
      <c r="X58" s="612">
        <v>10.047391425366767</v>
      </c>
      <c r="Z58" s="611"/>
      <c r="AB58" s="624" t="s">
        <v>484</v>
      </c>
      <c r="AC58" s="605" t="s">
        <v>123</v>
      </c>
      <c r="AD58" s="612">
        <f t="shared" ref="AD58:AD60" si="26">ROUND(LOOKUP(MID($AD$3,1,4),$E$134:$Y$134,E58:Y58),4)</f>
        <v>10.0474</v>
      </c>
      <c r="AF58" s="612">
        <v>10.3551</v>
      </c>
    </row>
    <row r="59" spans="2:35">
      <c r="B59" s="624" t="s">
        <v>485</v>
      </c>
      <c r="C59" s="605" t="s">
        <v>123</v>
      </c>
      <c r="E59" s="612">
        <v>2.6319204909792142</v>
      </c>
      <c r="F59" s="612">
        <v>2.9217989315069324</v>
      </c>
      <c r="G59" s="612">
        <v>3.3300699240007781</v>
      </c>
      <c r="H59" s="612">
        <v>3.5320314046057062</v>
      </c>
      <c r="I59" s="612">
        <v>4.174676063317655</v>
      </c>
      <c r="J59" s="612">
        <v>4.3482704193435602</v>
      </c>
      <c r="K59" s="612">
        <v>4.6498643676761526</v>
      </c>
      <c r="L59" s="612">
        <v>5.0224251070262831</v>
      </c>
      <c r="M59" s="612">
        <v>5.1644578084551487</v>
      </c>
      <c r="N59" s="612">
        <v>5.3129505508959891</v>
      </c>
      <c r="O59" s="612">
        <v>5.1809327257748183</v>
      </c>
      <c r="P59" s="612">
        <v>5.2178910322053786</v>
      </c>
      <c r="Q59" s="612">
        <v>5.4378437910687127</v>
      </c>
      <c r="R59" s="612">
        <v>5.725417965953735</v>
      </c>
      <c r="S59" s="612">
        <v>5.8993959309995736</v>
      </c>
      <c r="T59" s="612">
        <v>5.9000737205105294</v>
      </c>
      <c r="U59" s="612">
        <v>6.5217158596147407</v>
      </c>
      <c r="V59" s="612">
        <v>7.262555688212232</v>
      </c>
      <c r="W59" s="612">
        <v>6.9958141654404553</v>
      </c>
      <c r="X59" s="612">
        <v>6.7162110642798991</v>
      </c>
      <c r="Z59" s="611"/>
      <c r="AB59" s="624" t="s">
        <v>485</v>
      </c>
      <c r="AC59" s="605" t="s">
        <v>123</v>
      </c>
      <c r="AD59" s="612">
        <f t="shared" si="26"/>
        <v>6.7161999999999997</v>
      </c>
      <c r="AF59" s="612">
        <v>6.9218999999999999</v>
      </c>
    </row>
    <row r="60" spans="2:35">
      <c r="B60" s="624" t="s">
        <v>486</v>
      </c>
      <c r="C60" s="605" t="s">
        <v>123</v>
      </c>
      <c r="E60" s="612">
        <v>1.7695469549449989</v>
      </c>
      <c r="F60" s="612">
        <v>1.9644439943875478</v>
      </c>
      <c r="G60" s="612">
        <v>2.2389411511352675</v>
      </c>
      <c r="H60" s="612">
        <v>2.3747280505668948</v>
      </c>
      <c r="I60" s="612">
        <v>2.8068041344885266</v>
      </c>
      <c r="J60" s="612">
        <v>2.9235186648682001</v>
      </c>
      <c r="K60" s="612">
        <v>3.1262925156478718</v>
      </c>
      <c r="L60" s="612">
        <v>3.3767802200100197</v>
      </c>
      <c r="M60" s="612">
        <v>3.4722745691658909</v>
      </c>
      <c r="N60" s="612">
        <v>3.5721122660561409</v>
      </c>
      <c r="O60" s="612">
        <v>3.4833513246666414</v>
      </c>
      <c r="P60" s="612">
        <v>3.5081998939255823</v>
      </c>
      <c r="Q60" s="612">
        <v>3.6560830598541836</v>
      </c>
      <c r="R60" s="612">
        <v>3.8494308479932098</v>
      </c>
      <c r="S60" s="612">
        <v>3.9664032942846443</v>
      </c>
      <c r="T60" s="612">
        <v>3.9668589996789816</v>
      </c>
      <c r="U60" s="612">
        <v>4.3848142373419874</v>
      </c>
      <c r="V60" s="612">
        <v>4.88291091894384</v>
      </c>
      <c r="W60" s="612">
        <v>4.7035697682533124</v>
      </c>
      <c r="X60" s="612">
        <v>4.5155812564621529</v>
      </c>
      <c r="Z60" s="611"/>
      <c r="AB60" s="624" t="s">
        <v>486</v>
      </c>
      <c r="AC60" s="605" t="s">
        <v>123</v>
      </c>
      <c r="AD60" s="612">
        <f t="shared" si="26"/>
        <v>4.5156000000000001</v>
      </c>
      <c r="AF60" s="612">
        <v>4.6539000000000001</v>
      </c>
    </row>
    <row r="61" spans="2:35">
      <c r="E61" s="625"/>
      <c r="F61" s="625"/>
      <c r="G61" s="625"/>
      <c r="H61" s="625"/>
      <c r="I61" s="625"/>
      <c r="J61" s="625"/>
      <c r="K61" s="625"/>
      <c r="L61" s="625"/>
      <c r="M61" s="625"/>
      <c r="N61" s="625"/>
      <c r="O61" s="625"/>
      <c r="P61" s="625"/>
      <c r="Q61" s="625"/>
      <c r="R61" s="625"/>
      <c r="S61" s="625"/>
      <c r="T61" s="625"/>
      <c r="U61" s="625"/>
      <c r="V61" s="625"/>
      <c r="W61" s="625"/>
      <c r="X61" s="625"/>
      <c r="Z61" s="611"/>
      <c r="AC61" s="605"/>
      <c r="AD61" s="625"/>
      <c r="AF61" s="625"/>
    </row>
    <row r="62" spans="2:35">
      <c r="B62" s="616" t="s">
        <v>217</v>
      </c>
      <c r="E62" s="625"/>
      <c r="F62" s="625"/>
      <c r="G62" s="625"/>
      <c r="H62" s="625"/>
      <c r="I62" s="625"/>
      <c r="J62" s="625"/>
      <c r="K62" s="625"/>
      <c r="L62" s="625"/>
      <c r="M62" s="625"/>
      <c r="N62" s="625"/>
      <c r="O62" s="625"/>
      <c r="P62" s="625"/>
      <c r="Q62" s="625"/>
      <c r="R62" s="625"/>
      <c r="S62" s="625"/>
      <c r="T62" s="625"/>
      <c r="U62" s="625"/>
      <c r="V62" s="625"/>
      <c r="W62" s="625"/>
      <c r="X62" s="625"/>
      <c r="Z62" s="611"/>
      <c r="AB62" s="616" t="s">
        <v>217</v>
      </c>
      <c r="AC62" s="605"/>
      <c r="AD62" s="625"/>
      <c r="AF62" s="625"/>
    </row>
    <row r="63" spans="2:35">
      <c r="B63" s="624" t="s">
        <v>483</v>
      </c>
      <c r="C63" s="605" t="s">
        <v>114</v>
      </c>
      <c r="E63" s="612">
        <v>10.186030136577706</v>
      </c>
      <c r="F63" s="612">
        <v>11.137319155384381</v>
      </c>
      <c r="G63" s="612">
        <v>12.641755333231307</v>
      </c>
      <c r="H63" s="612">
        <v>13.501372287429481</v>
      </c>
      <c r="I63" s="612">
        <v>16.055293138483801</v>
      </c>
      <c r="J63" s="612">
        <v>16.712656521259092</v>
      </c>
      <c r="K63" s="612">
        <v>18.162436061073972</v>
      </c>
      <c r="L63" s="612">
        <v>19.33662463026095</v>
      </c>
      <c r="M63" s="612">
        <v>19.811021956608069</v>
      </c>
      <c r="N63" s="612">
        <v>20.479799931738924</v>
      </c>
      <c r="O63" s="612">
        <v>20.012890643638297</v>
      </c>
      <c r="P63" s="612">
        <v>20.217236140317929</v>
      </c>
      <c r="Q63" s="612">
        <v>20.974966344748381</v>
      </c>
      <c r="R63" s="612">
        <v>22.123728209093539</v>
      </c>
      <c r="S63" s="612">
        <v>22.746869758909003</v>
      </c>
      <c r="T63" s="612">
        <v>22.599733918861762</v>
      </c>
      <c r="U63" s="612">
        <v>25.447773083949706</v>
      </c>
      <c r="V63" s="612">
        <v>28.276151039799149</v>
      </c>
      <c r="W63" s="612">
        <v>26.962109393277341</v>
      </c>
      <c r="X63" s="612">
        <v>25.816142996353076</v>
      </c>
      <c r="Z63" s="611"/>
      <c r="AB63" s="624" t="s">
        <v>483</v>
      </c>
      <c r="AC63" s="605" t="s">
        <v>114</v>
      </c>
      <c r="AD63" s="612">
        <f t="shared" ref="AD63:AD66" si="27">ROUND(LOOKUP(MID($AD$3,1,4),$E$134:$Y$134,E63:Y63),4)</f>
        <v>25.816099999999999</v>
      </c>
      <c r="AF63" s="612">
        <v>26.593499999999999</v>
      </c>
    </row>
    <row r="64" spans="2:35">
      <c r="B64" s="624" t="s">
        <v>484</v>
      </c>
      <c r="C64" s="605" t="s">
        <v>114</v>
      </c>
      <c r="E64" s="612">
        <v>5.3349873194172357</v>
      </c>
      <c r="F64" s="612">
        <v>5.8332299894649022</v>
      </c>
      <c r="G64" s="612">
        <v>6.6211864184238403</v>
      </c>
      <c r="H64" s="612">
        <v>7.0714153583260488</v>
      </c>
      <c r="I64" s="612">
        <v>8.4090449522384656</v>
      </c>
      <c r="J64" s="612">
        <v>8.7533425111826304</v>
      </c>
      <c r="K64" s="612">
        <v>9.512672236026896</v>
      </c>
      <c r="L64" s="612">
        <v>10.127659728035422</v>
      </c>
      <c r="M64" s="612">
        <v>10.376127844317439</v>
      </c>
      <c r="N64" s="612">
        <v>10.726403856560555</v>
      </c>
      <c r="O64" s="612">
        <v>10.481857640033073</v>
      </c>
      <c r="P64" s="612">
        <v>10.588884677941694</v>
      </c>
      <c r="Q64" s="612">
        <v>10.985749892158905</v>
      </c>
      <c r="R64" s="612">
        <v>11.587420012621616</v>
      </c>
      <c r="S64" s="612">
        <v>11.913793705011303</v>
      </c>
      <c r="T64" s="612">
        <v>11.836730528252671</v>
      </c>
      <c r="U64" s="612">
        <v>13.328406149394391</v>
      </c>
      <c r="V64" s="612">
        <v>14.809784107897636</v>
      </c>
      <c r="W64" s="612">
        <v>14.121547824735083</v>
      </c>
      <c r="X64" s="612">
        <v>13.521341845163604</v>
      </c>
      <c r="Z64" s="611"/>
      <c r="AB64" s="624" t="s">
        <v>484</v>
      </c>
      <c r="AC64" s="605" t="s">
        <v>114</v>
      </c>
      <c r="AD64" s="612">
        <f t="shared" si="27"/>
        <v>13.5213</v>
      </c>
      <c r="AF64" s="612">
        <v>13.9285</v>
      </c>
    </row>
    <row r="65" spans="2:32">
      <c r="B65" s="624" t="s">
        <v>485</v>
      </c>
      <c r="C65" s="605" t="s">
        <v>114</v>
      </c>
      <c r="E65" s="612">
        <v>6.2550191366613301</v>
      </c>
      <c r="F65" s="612">
        <v>6.8391849929711483</v>
      </c>
      <c r="G65" s="612">
        <v>7.763026465668756</v>
      </c>
      <c r="H65" s="612">
        <v>8.2908985047863073</v>
      </c>
      <c r="I65" s="612">
        <v>9.8592056453177381</v>
      </c>
      <c r="J65" s="612">
        <v>10.262878173659713</v>
      </c>
      <c r="K65" s="612">
        <v>11.153156195999133</v>
      </c>
      <c r="L65" s="612">
        <v>11.874199808852721</v>
      </c>
      <c r="M65" s="612">
        <v>12.165516869070959</v>
      </c>
      <c r="N65" s="612">
        <v>12.576198849835899</v>
      </c>
      <c r="O65" s="612">
        <v>12.289480030728264</v>
      </c>
      <c r="P65" s="612">
        <v>12.414964147217548</v>
      </c>
      <c r="Q65" s="612">
        <v>12.880269753581205</v>
      </c>
      <c r="R65" s="612">
        <v>13.585699381080804</v>
      </c>
      <c r="S65" s="612">
        <v>13.968357027551708</v>
      </c>
      <c r="T65" s="612">
        <v>13.878004114508643</v>
      </c>
      <c r="U65" s="612">
        <v>15.626922902370325</v>
      </c>
      <c r="V65" s="612">
        <v>17.363768170088463</v>
      </c>
      <c r="W65" s="612">
        <v>16.556843830070221</v>
      </c>
      <c r="X65" s="612">
        <v>15.853130838195996</v>
      </c>
      <c r="Z65" s="611"/>
      <c r="AB65" s="624" t="s">
        <v>485</v>
      </c>
      <c r="AC65" s="605" t="s">
        <v>114</v>
      </c>
      <c r="AD65" s="612">
        <f t="shared" si="27"/>
        <v>15.8531</v>
      </c>
      <c r="AF65" s="612">
        <v>16.330500000000001</v>
      </c>
    </row>
    <row r="66" spans="2:32">
      <c r="B66" s="624" t="s">
        <v>486</v>
      </c>
      <c r="C66" s="605" t="s">
        <v>114</v>
      </c>
      <c r="E66" s="612">
        <v>4.242244200877292</v>
      </c>
      <c r="F66" s="612">
        <v>4.6384339106346939</v>
      </c>
      <c r="G66" s="612">
        <v>5.2649965229072517</v>
      </c>
      <c r="H66" s="612">
        <v>5.6230069538628609</v>
      </c>
      <c r="I66" s="612">
        <v>6.6866554778328586</v>
      </c>
      <c r="J66" s="612">
        <v>6.9604320091267766</v>
      </c>
      <c r="K66" s="612">
        <v>7.5642314052472166</v>
      </c>
      <c r="L66" s="612">
        <v>8.0532535838173107</v>
      </c>
      <c r="M66" s="612">
        <v>8.2508290160144835</v>
      </c>
      <c r="N66" s="612">
        <v>8.5293594590459954</v>
      </c>
      <c r="O66" s="612">
        <v>8.3349026202950629</v>
      </c>
      <c r="P66" s="612">
        <v>8.420007758080942</v>
      </c>
      <c r="Q66" s="612">
        <v>8.7355847318846589</v>
      </c>
      <c r="R66" s="612">
        <v>9.214017280371559</v>
      </c>
      <c r="S66" s="612">
        <v>9.4735412156618697</v>
      </c>
      <c r="T66" s="612">
        <v>9.4122625667856816</v>
      </c>
      <c r="U66" s="612">
        <v>10.598404515117386</v>
      </c>
      <c r="V66" s="612">
        <v>11.776358027939288</v>
      </c>
      <c r="W66" s="612">
        <v>11.229090301462552</v>
      </c>
      <c r="X66" s="612">
        <v>10.751822000017533</v>
      </c>
      <c r="Z66" s="611"/>
      <c r="AB66" s="624" t="s">
        <v>486</v>
      </c>
      <c r="AC66" s="605" t="s">
        <v>114</v>
      </c>
      <c r="AD66" s="612">
        <f t="shared" si="27"/>
        <v>10.751799999999999</v>
      </c>
      <c r="AF66" s="612">
        <v>11.0756</v>
      </c>
    </row>
    <row r="67" spans="2:32">
      <c r="E67" s="625"/>
      <c r="F67" s="625"/>
      <c r="G67" s="625"/>
      <c r="H67" s="625"/>
      <c r="I67" s="625"/>
      <c r="J67" s="625"/>
      <c r="K67" s="625"/>
      <c r="L67" s="625"/>
      <c r="M67" s="625"/>
      <c r="N67" s="625"/>
      <c r="O67" s="625"/>
      <c r="P67" s="625"/>
      <c r="Q67" s="625"/>
      <c r="R67" s="625"/>
      <c r="S67" s="625"/>
      <c r="T67" s="625"/>
      <c r="U67" s="625"/>
      <c r="V67" s="625"/>
      <c r="W67" s="625"/>
      <c r="X67" s="625"/>
      <c r="Z67" s="611"/>
      <c r="AC67" s="605"/>
      <c r="AD67" s="625"/>
      <c r="AF67" s="625"/>
    </row>
    <row r="68" spans="2:32">
      <c r="B68" s="616" t="s">
        <v>218</v>
      </c>
      <c r="E68" s="625"/>
      <c r="F68" s="625"/>
      <c r="G68" s="625"/>
      <c r="H68" s="625"/>
      <c r="I68" s="625"/>
      <c r="J68" s="625"/>
      <c r="K68" s="625"/>
      <c r="L68" s="625"/>
      <c r="M68" s="625"/>
      <c r="N68" s="625"/>
      <c r="O68" s="625"/>
      <c r="P68" s="625"/>
      <c r="Q68" s="625"/>
      <c r="R68" s="625"/>
      <c r="S68" s="625"/>
      <c r="T68" s="625"/>
      <c r="U68" s="625"/>
      <c r="V68" s="625"/>
      <c r="W68" s="625"/>
      <c r="X68" s="625"/>
      <c r="Z68" s="611"/>
      <c r="AB68" s="616" t="s">
        <v>218</v>
      </c>
      <c r="AC68" s="605"/>
      <c r="AD68" s="625"/>
      <c r="AF68" s="625"/>
    </row>
    <row r="69" spans="2:32">
      <c r="B69" s="624" t="s">
        <v>483</v>
      </c>
      <c r="C69" s="605" t="s">
        <v>259</v>
      </c>
      <c r="E69" s="612">
        <v>698.82352770953571</v>
      </c>
      <c r="F69" s="612">
        <v>782.394244846118</v>
      </c>
      <c r="G69" s="612">
        <v>926.30805664120464</v>
      </c>
      <c r="H69" s="612">
        <v>964.04035924695449</v>
      </c>
      <c r="I69" s="612">
        <v>1065.2465125902809</v>
      </c>
      <c r="J69" s="612">
        <v>1129.6739431525289</v>
      </c>
      <c r="K69" s="612">
        <v>1206.1959529867243</v>
      </c>
      <c r="L69" s="612">
        <v>1277.9248004265103</v>
      </c>
      <c r="M69" s="612">
        <v>1335.2242984308882</v>
      </c>
      <c r="N69" s="612">
        <v>1311.6402064256129</v>
      </c>
      <c r="O69" s="612">
        <v>1281.1075719520964</v>
      </c>
      <c r="P69" s="612">
        <v>1331.9621468511582</v>
      </c>
      <c r="Q69" s="612">
        <v>1409.6772055614783</v>
      </c>
      <c r="R69" s="612">
        <v>1465.7579266997363</v>
      </c>
      <c r="S69" s="612">
        <v>1491.2992423213939</v>
      </c>
      <c r="T69" s="612">
        <v>1472.2574984586558</v>
      </c>
      <c r="U69" s="612">
        <v>1766.193625332905</v>
      </c>
      <c r="V69" s="612">
        <v>1761.744436291764</v>
      </c>
      <c r="W69" s="612">
        <v>1730.7756341431168</v>
      </c>
      <c r="X69" s="612">
        <v>1699.8171652397637</v>
      </c>
      <c r="Z69" s="611"/>
      <c r="AB69" s="624" t="s">
        <v>483</v>
      </c>
      <c r="AC69" s="605" t="s">
        <v>259</v>
      </c>
      <c r="AD69" s="612">
        <f t="shared" ref="AD69:AD72" si="28">ROUND(LOOKUP(MID($AD$3,1,4),$E$134:$Y$134,E69:Y69),4)</f>
        <v>1699.8172</v>
      </c>
      <c r="AF69" s="612">
        <v>1745.8784000000001</v>
      </c>
    </row>
    <row r="70" spans="2:32">
      <c r="B70" s="624" t="s">
        <v>484</v>
      </c>
      <c r="C70" s="605" t="s">
        <v>259</v>
      </c>
      <c r="E70" s="612">
        <v>841.08551409743734</v>
      </c>
      <c r="F70" s="612">
        <v>941.6690188009735</v>
      </c>
      <c r="G70" s="612">
        <v>1114.8798761630969</v>
      </c>
      <c r="H70" s="612">
        <v>1160.2934775615149</v>
      </c>
      <c r="I70" s="612">
        <v>1282.1025268269209</v>
      </c>
      <c r="J70" s="612">
        <v>1359.6456781487361</v>
      </c>
      <c r="K70" s="612">
        <v>1451.7455451811397</v>
      </c>
      <c r="L70" s="612">
        <v>1538.0764887345817</v>
      </c>
      <c r="M70" s="612">
        <v>1607.0406489632696</v>
      </c>
      <c r="N70" s="612">
        <v>1578.6554596239903</v>
      </c>
      <c r="O70" s="612">
        <v>1541.9071883586005</v>
      </c>
      <c r="P70" s="612">
        <v>1603.1144096056828</v>
      </c>
      <c r="Q70" s="612">
        <v>1696.6501987092961</v>
      </c>
      <c r="R70" s="612">
        <v>1764.1474713385205</v>
      </c>
      <c r="S70" s="612">
        <v>1794.8883232539927</v>
      </c>
      <c r="T70" s="612">
        <v>1771.9701839941483</v>
      </c>
      <c r="U70" s="612">
        <v>2125.7439317014464</v>
      </c>
      <c r="V70" s="612">
        <v>2120.3890054523977</v>
      </c>
      <c r="W70" s="612">
        <v>2083.1157743098374</v>
      </c>
      <c r="X70" s="612">
        <v>2045.8549799879993</v>
      </c>
      <c r="Z70" s="611"/>
      <c r="AB70" s="624" t="s">
        <v>484</v>
      </c>
      <c r="AC70" s="605" t="s">
        <v>259</v>
      </c>
      <c r="AD70" s="612">
        <f t="shared" si="28"/>
        <v>2045.855</v>
      </c>
      <c r="AF70" s="612">
        <v>2101.2930999999999</v>
      </c>
    </row>
    <row r="71" spans="2:32">
      <c r="B71" s="624" t="s">
        <v>485</v>
      </c>
      <c r="C71" s="605" t="s">
        <v>259</v>
      </c>
      <c r="E71" s="612">
        <v>913.55367780293693</v>
      </c>
      <c r="F71" s="612">
        <v>1022.803485471815</v>
      </c>
      <c r="G71" s="612">
        <v>1210.9382388665053</v>
      </c>
      <c r="H71" s="612">
        <v>1260.2646888937913</v>
      </c>
      <c r="I71" s="612">
        <v>1392.5688399948879</v>
      </c>
      <c r="J71" s="612">
        <v>1476.7931309749692</v>
      </c>
      <c r="K71" s="612">
        <v>1576.8283483724556</v>
      </c>
      <c r="L71" s="612">
        <v>1670.5975902266293</v>
      </c>
      <c r="M71" s="612">
        <v>1745.5037218357515</v>
      </c>
      <c r="N71" s="612">
        <v>1714.6728566247889</v>
      </c>
      <c r="O71" s="612">
        <v>1674.7583440042472</v>
      </c>
      <c r="P71" s="612">
        <v>1741.239196594335</v>
      </c>
      <c r="Q71" s="612">
        <v>1842.8340555112686</v>
      </c>
      <c r="R71" s="612">
        <v>1916.1469120740937</v>
      </c>
      <c r="S71" s="612">
        <v>1949.5364044092591</v>
      </c>
      <c r="T71" s="612">
        <v>1924.6436318453448</v>
      </c>
      <c r="U71" s="612">
        <v>2308.8986248408487</v>
      </c>
      <c r="V71" s="612">
        <v>2303.0823166448481</v>
      </c>
      <c r="W71" s="612">
        <v>2262.5976134569387</v>
      </c>
      <c r="X71" s="612">
        <v>2222.1264186497119</v>
      </c>
      <c r="Z71" s="611"/>
      <c r="AB71" s="624" t="s">
        <v>485</v>
      </c>
      <c r="AC71" s="605" t="s">
        <v>259</v>
      </c>
      <c r="AD71" s="612">
        <f t="shared" si="28"/>
        <v>2222.1264000000001</v>
      </c>
      <c r="AF71" s="612">
        <v>2282.3411000000001</v>
      </c>
    </row>
    <row r="72" spans="2:32">
      <c r="B72" s="624" t="s">
        <v>486</v>
      </c>
      <c r="C72" s="605" t="s">
        <v>259</v>
      </c>
      <c r="E72" s="612">
        <v>676.60030806612906</v>
      </c>
      <c r="F72" s="612">
        <v>757.51340088263373</v>
      </c>
      <c r="G72" s="612">
        <v>896.85062342102401</v>
      </c>
      <c r="H72" s="612">
        <v>933.38300470871604</v>
      </c>
      <c r="I72" s="612">
        <v>1031.3707109250763</v>
      </c>
      <c r="J72" s="612">
        <v>1093.7492909783296</v>
      </c>
      <c r="K72" s="612">
        <v>1167.8378317539286</v>
      </c>
      <c r="L72" s="612">
        <v>1237.2856370303987</v>
      </c>
      <c r="M72" s="612">
        <v>1292.7629592219762</v>
      </c>
      <c r="N72" s="612">
        <v>1269.9288626532332</v>
      </c>
      <c r="O72" s="612">
        <v>1240.3671935454947</v>
      </c>
      <c r="P72" s="612">
        <v>1289.6045470101865</v>
      </c>
      <c r="Q72" s="612">
        <v>1364.8481966296015</v>
      </c>
      <c r="R72" s="612">
        <v>1419.1455001606978</v>
      </c>
      <c r="S72" s="612">
        <v>1443.87457886626</v>
      </c>
      <c r="T72" s="612">
        <v>1425.4383796646214</v>
      </c>
      <c r="U72" s="612">
        <v>1710.0270721013542</v>
      </c>
      <c r="V72" s="612">
        <v>1705.7193712920425</v>
      </c>
      <c r="W72" s="612">
        <v>1675.735405035367</v>
      </c>
      <c r="X72" s="612">
        <v>1645.7614434174479</v>
      </c>
      <c r="Z72" s="611"/>
      <c r="AB72" s="624" t="s">
        <v>486</v>
      </c>
      <c r="AC72" s="605" t="s">
        <v>259</v>
      </c>
      <c r="AD72" s="612">
        <f t="shared" si="28"/>
        <v>1645.7614000000001</v>
      </c>
      <c r="AF72" s="612">
        <v>1690.3579</v>
      </c>
    </row>
    <row r="73" spans="2:32">
      <c r="E73" s="625"/>
      <c r="F73" s="625"/>
      <c r="G73" s="625"/>
      <c r="H73" s="625"/>
      <c r="I73" s="625"/>
      <c r="J73" s="625"/>
      <c r="K73" s="625"/>
      <c r="L73" s="625"/>
      <c r="M73" s="625"/>
      <c r="N73" s="625"/>
      <c r="O73" s="625"/>
      <c r="P73" s="625"/>
      <c r="Q73" s="625"/>
      <c r="R73" s="625"/>
      <c r="S73" s="625"/>
      <c r="T73" s="625"/>
      <c r="U73" s="625"/>
      <c r="V73" s="625"/>
      <c r="W73" s="625"/>
      <c r="X73" s="625"/>
      <c r="Z73" s="611"/>
      <c r="AC73" s="605"/>
      <c r="AD73" s="625"/>
      <c r="AF73" s="625"/>
    </row>
    <row r="74" spans="2:32">
      <c r="B74" s="608" t="s">
        <v>487</v>
      </c>
      <c r="C74" s="609" t="s">
        <v>488</v>
      </c>
      <c r="E74" s="626">
        <v>663.24247319778499</v>
      </c>
      <c r="F74" s="626">
        <v>822.60955379456504</v>
      </c>
      <c r="G74" s="626">
        <v>814.49726980453477</v>
      </c>
      <c r="H74" s="626">
        <v>924.83642788974169</v>
      </c>
      <c r="I74" s="626">
        <v>1032.1584323607972</v>
      </c>
      <c r="J74" s="626">
        <v>1138.9160107620305</v>
      </c>
      <c r="K74" s="626">
        <v>1051.89885428097</v>
      </c>
      <c r="L74" s="626">
        <v>994.98888275914351</v>
      </c>
      <c r="M74" s="626">
        <v>1109.5322065539908</v>
      </c>
      <c r="N74" s="626">
        <v>1080.5948166970711</v>
      </c>
      <c r="O74" s="626">
        <v>1136.9907941481131</v>
      </c>
      <c r="P74" s="626">
        <v>1141.448524216526</v>
      </c>
      <c r="Q74" s="626">
        <v>1143.8545599051772</v>
      </c>
      <c r="R74" s="626">
        <v>1160.5117298356229</v>
      </c>
      <c r="S74" s="626">
        <v>1231.3441155968706</v>
      </c>
      <c r="T74" s="626">
        <v>1323.5633901125541</v>
      </c>
      <c r="U74" s="626">
        <v>1411.382320739044</v>
      </c>
      <c r="V74" s="626">
        <v>1344.3364427925253</v>
      </c>
      <c r="W74" s="626">
        <v>1449.6654224445419</v>
      </c>
      <c r="X74" s="626">
        <v>1521.3469337225406</v>
      </c>
      <c r="Z74" s="611"/>
      <c r="AB74" s="608" t="s">
        <v>487</v>
      </c>
      <c r="AC74" s="609" t="s">
        <v>488</v>
      </c>
      <c r="AD74" s="626">
        <f>ROUND(LOOKUP(MID($AD$3,1,4),$E$134:$Y$134,E74:Y74),4)</f>
        <v>1521.3469</v>
      </c>
      <c r="AF74" s="734">
        <v>1584.6092463549712</v>
      </c>
    </row>
    <row r="75" spans="2:32">
      <c r="E75" s="625"/>
      <c r="F75" s="625"/>
      <c r="G75" s="625"/>
      <c r="H75" s="625"/>
      <c r="I75" s="625"/>
      <c r="J75" s="625"/>
      <c r="K75" s="625"/>
      <c r="L75" s="625"/>
      <c r="M75" s="625"/>
      <c r="N75" s="625"/>
      <c r="O75" s="625"/>
      <c r="P75" s="625"/>
      <c r="Q75" s="625"/>
      <c r="R75" s="625"/>
      <c r="S75" s="625"/>
      <c r="T75" s="625"/>
      <c r="U75" s="625"/>
      <c r="V75" s="625"/>
      <c r="W75" s="625"/>
      <c r="X75" s="625"/>
      <c r="Z75" s="611"/>
      <c r="AC75" s="605"/>
      <c r="AD75" s="625"/>
      <c r="AF75" s="625"/>
    </row>
    <row r="76" spans="2:32">
      <c r="B76" s="608" t="s">
        <v>489</v>
      </c>
      <c r="Z76" s="611"/>
      <c r="AB76" s="608" t="s">
        <v>489</v>
      </c>
      <c r="AC76" s="605"/>
    </row>
    <row r="77" spans="2:32">
      <c r="B77" s="604" t="s">
        <v>96</v>
      </c>
      <c r="C77" s="605" t="s">
        <v>490</v>
      </c>
      <c r="E77" s="623">
        <v>9592.1094031532739</v>
      </c>
      <c r="F77" s="623">
        <v>10621.95700699581</v>
      </c>
      <c r="G77" s="623">
        <v>11583.187473511787</v>
      </c>
      <c r="H77" s="623">
        <v>12606.158760048374</v>
      </c>
      <c r="I77" s="623">
        <v>13667.044365197677</v>
      </c>
      <c r="J77" s="623">
        <v>16393.659889914699</v>
      </c>
      <c r="K77" s="623">
        <v>17601.615598189896</v>
      </c>
      <c r="L77" s="623">
        <v>19897.295884909829</v>
      </c>
      <c r="M77" s="623">
        <v>21414.618138924936</v>
      </c>
      <c r="N77" s="623">
        <v>24323.426009525392</v>
      </c>
      <c r="O77" s="623">
        <v>26697.080977096823</v>
      </c>
      <c r="P77" s="623">
        <v>28233.879965034426</v>
      </c>
      <c r="Q77" s="623">
        <v>32082.821313929093</v>
      </c>
      <c r="R77" s="623">
        <v>37213.568862989836</v>
      </c>
      <c r="S77" s="623">
        <v>42240.835677905787</v>
      </c>
      <c r="T77" s="623">
        <v>46917.080938667037</v>
      </c>
      <c r="U77" s="623">
        <v>56625.064195001287</v>
      </c>
      <c r="V77" s="623">
        <v>68306.972093655655</v>
      </c>
      <c r="W77" s="623">
        <v>73656.401023940227</v>
      </c>
      <c r="X77" s="623">
        <v>74515.933642094897</v>
      </c>
      <c r="Z77" s="611"/>
      <c r="AB77" s="604" t="s">
        <v>96</v>
      </c>
      <c r="AC77" s="605" t="s">
        <v>490</v>
      </c>
      <c r="AD77" s="612">
        <f t="shared" ref="AD77:AD103" si="29">ROUND(LOOKUP(MID($AD$3,1,4),$E$134:$Y$134,E77:Y77),2)</f>
        <v>74515.929999999993</v>
      </c>
      <c r="AF77" s="612">
        <v>77081.344593924267</v>
      </c>
    </row>
    <row r="78" spans="2:32">
      <c r="B78" s="604" t="s">
        <v>97</v>
      </c>
      <c r="C78" s="605" t="s">
        <v>490</v>
      </c>
      <c r="E78" s="623">
        <v>7194.0820523649563</v>
      </c>
      <c r="F78" s="623">
        <v>7966.4677552468575</v>
      </c>
      <c r="G78" s="623">
        <v>8687.3906051338399</v>
      </c>
      <c r="H78" s="623">
        <v>9454.6190700362804</v>
      </c>
      <c r="I78" s="623">
        <v>10250.283273898258</v>
      </c>
      <c r="J78" s="623">
        <v>12295.244917436023</v>
      </c>
      <c r="K78" s="623">
        <v>13201.211698642415</v>
      </c>
      <c r="L78" s="623">
        <v>14922.971913682368</v>
      </c>
      <c r="M78" s="623">
        <v>16060.963604193696</v>
      </c>
      <c r="N78" s="623">
        <v>18242.569507144042</v>
      </c>
      <c r="O78" s="623">
        <v>20022.810732822622</v>
      </c>
      <c r="P78" s="623">
        <v>21175.409973775826</v>
      </c>
      <c r="Q78" s="623">
        <v>24062.115985446824</v>
      </c>
      <c r="R78" s="623">
        <v>27910.176647242373</v>
      </c>
      <c r="S78" s="623">
        <v>31680.626758429331</v>
      </c>
      <c r="T78" s="623">
        <v>35187.810704000272</v>
      </c>
      <c r="U78" s="623">
        <v>42468.798146250941</v>
      </c>
      <c r="V78" s="623">
        <v>51230.229070241701</v>
      </c>
      <c r="W78" s="623">
        <v>55242.300767955116</v>
      </c>
      <c r="X78" s="623">
        <v>55886.950231571122</v>
      </c>
      <c r="Z78" s="611"/>
      <c r="AB78" s="604" t="s">
        <v>97</v>
      </c>
      <c r="AC78" s="605" t="s">
        <v>490</v>
      </c>
      <c r="AD78" s="612">
        <f t="shared" si="29"/>
        <v>55886.95</v>
      </c>
      <c r="AF78" s="612">
        <v>57811.008445443156</v>
      </c>
    </row>
    <row r="79" spans="2:32">
      <c r="B79" s="604" t="s">
        <v>491</v>
      </c>
      <c r="C79" s="605" t="s">
        <v>122</v>
      </c>
      <c r="E79" s="623">
        <v>1329839.9093260949</v>
      </c>
      <c r="F79" s="623">
        <v>1675284.8397993795</v>
      </c>
      <c r="G79" s="623">
        <v>1900024.6264325955</v>
      </c>
      <c r="H79" s="623">
        <v>2151268.3425886012</v>
      </c>
      <c r="I79" s="623">
        <v>2518583.7838155595</v>
      </c>
      <c r="J79" s="623">
        <v>2760742.4772562459</v>
      </c>
      <c r="K79" s="623">
        <v>2941368.278277983</v>
      </c>
      <c r="L79" s="623">
        <v>3163548.2193307066</v>
      </c>
      <c r="M79" s="623">
        <v>3125587.3455464947</v>
      </c>
      <c r="N79" s="623">
        <v>3615798.5714042396</v>
      </c>
      <c r="O79" s="623">
        <v>4151753.8507557618</v>
      </c>
      <c r="P79" s="623">
        <v>4528887.6337022288</v>
      </c>
      <c r="Q79" s="623">
        <v>4647834.0072014239</v>
      </c>
      <c r="R79" s="623">
        <v>4691196.1540363422</v>
      </c>
      <c r="S79" s="623">
        <v>5032634.4005546737</v>
      </c>
      <c r="T79" s="623">
        <v>5227766.28624475</v>
      </c>
      <c r="U79" s="623">
        <v>5265588.5505698575</v>
      </c>
      <c r="V79" s="623">
        <v>5263843.8201092742</v>
      </c>
      <c r="W79" s="623">
        <v>4916313.7127854228</v>
      </c>
      <c r="X79" s="623">
        <v>5668910.1538607078</v>
      </c>
      <c r="Z79" s="611"/>
      <c r="AB79" s="604" t="s">
        <v>491</v>
      </c>
      <c r="AC79" s="605" t="s">
        <v>122</v>
      </c>
      <c r="AD79" s="612">
        <f t="shared" si="29"/>
        <v>5668910.1500000004</v>
      </c>
      <c r="AF79" s="612">
        <v>5749108.6189876813</v>
      </c>
    </row>
    <row r="80" spans="2:32">
      <c r="B80" s="604" t="s">
        <v>492</v>
      </c>
      <c r="C80" s="605" t="s">
        <v>122</v>
      </c>
      <c r="E80" s="623">
        <v>1685662.1607424542</v>
      </c>
      <c r="F80" s="623">
        <v>1911794.0669956692</v>
      </c>
      <c r="G80" s="623">
        <v>2164594.077708602</v>
      </c>
      <c r="H80" s="623">
        <v>2534184.8037888608</v>
      </c>
      <c r="I80" s="623">
        <v>2777843.5158659541</v>
      </c>
      <c r="J80" s="623">
        <v>2959588.178506487</v>
      </c>
      <c r="K80" s="623">
        <v>3183144.3825687259</v>
      </c>
      <c r="L80" s="623">
        <v>3144948.3653861023</v>
      </c>
      <c r="M80" s="623">
        <v>3638196.1370895277</v>
      </c>
      <c r="N80" s="623">
        <v>4177471.3175186673</v>
      </c>
      <c r="O80" s="623">
        <v>4556941.2036824124</v>
      </c>
      <c r="P80" s="623">
        <v>4676624.3740912983</v>
      </c>
      <c r="Q80" s="623">
        <v>5333372.9671535287</v>
      </c>
      <c r="R80" s="623">
        <v>5689045.4783727527</v>
      </c>
      <c r="S80" s="623">
        <v>5916661.4745545574</v>
      </c>
      <c r="T80" s="623">
        <v>5954240.1209272621</v>
      </c>
      <c r="U80" s="623">
        <v>5947986.1160950242</v>
      </c>
      <c r="V80" s="623">
        <v>5555314.7390295761</v>
      </c>
      <c r="W80" s="623">
        <v>6409390.8822960556</v>
      </c>
      <c r="X80" s="623">
        <v>7148193.642613343</v>
      </c>
      <c r="Z80" s="611"/>
      <c r="AB80" s="604" t="s">
        <v>492</v>
      </c>
      <c r="AC80" s="605" t="s">
        <v>122</v>
      </c>
      <c r="AD80" s="612">
        <f t="shared" si="29"/>
        <v>7148193.6399999997</v>
      </c>
      <c r="AF80" s="612">
        <v>7117525.9897256307</v>
      </c>
    </row>
    <row r="81" spans="2:32">
      <c r="B81" s="604" t="s">
        <v>88</v>
      </c>
      <c r="C81" s="605" t="s">
        <v>122</v>
      </c>
      <c r="E81" s="623">
        <v>339690.7695371451</v>
      </c>
      <c r="F81" s="623">
        <v>385260.35224535671</v>
      </c>
      <c r="G81" s="623">
        <v>436204.03015306464</v>
      </c>
      <c r="H81" s="623">
        <v>510683.10495219164</v>
      </c>
      <c r="I81" s="623">
        <v>559784.64934080269</v>
      </c>
      <c r="J81" s="623">
        <v>596409.41659810371</v>
      </c>
      <c r="K81" s="623">
        <v>641459.94971279206</v>
      </c>
      <c r="L81" s="623">
        <v>633762.7760013619</v>
      </c>
      <c r="M81" s="623">
        <v>733160.93480479612</v>
      </c>
      <c r="N81" s="623">
        <v>841834.43136805308</v>
      </c>
      <c r="O81" s="623">
        <v>918304.33183159551</v>
      </c>
      <c r="P81" s="623">
        <v>963386.94847762352</v>
      </c>
      <c r="Q81" s="623">
        <v>892772.19382477342</v>
      </c>
      <c r="R81" s="623">
        <v>960849.03713470732</v>
      </c>
      <c r="S81" s="623">
        <v>997433.954447294</v>
      </c>
      <c r="T81" s="623">
        <v>1005148.5768713125</v>
      </c>
      <c r="U81" s="623">
        <v>1005223.6016235453</v>
      </c>
      <c r="V81" s="623">
        <v>938854.01468065358</v>
      </c>
      <c r="W81" s="623">
        <v>1071655.8094765656</v>
      </c>
      <c r="X81" s="623">
        <v>1035756.5215654459</v>
      </c>
      <c r="Z81" s="611"/>
      <c r="AB81" s="604" t="s">
        <v>88</v>
      </c>
      <c r="AC81" s="605" t="s">
        <v>122</v>
      </c>
      <c r="AD81" s="612">
        <f t="shared" si="29"/>
        <v>1035756.52</v>
      </c>
      <c r="AF81" s="612">
        <v>1031312.8504692694</v>
      </c>
    </row>
    <row r="82" spans="2:32">
      <c r="B82" s="604" t="s">
        <v>414</v>
      </c>
      <c r="C82" s="605" t="s">
        <v>122</v>
      </c>
      <c r="E82" s="623">
        <v>183666.41810686249</v>
      </c>
      <c r="F82" s="623">
        <v>192517.32988745201</v>
      </c>
      <c r="G82" s="623">
        <v>199657.14285714287</v>
      </c>
      <c r="H82" s="623">
        <v>219741.33333333334</v>
      </c>
      <c r="I82" s="623">
        <v>237661</v>
      </c>
      <c r="J82" s="623">
        <v>269580.51785714284</v>
      </c>
      <c r="K82" s="623">
        <v>252145.28095238097</v>
      </c>
      <c r="L82" s="623">
        <v>273042.14285714284</v>
      </c>
      <c r="M82" s="623">
        <v>314224.16666666669</v>
      </c>
      <c r="N82" s="623">
        <v>338340</v>
      </c>
      <c r="O82" s="623">
        <v>297568.33333333331</v>
      </c>
      <c r="P82" s="623">
        <v>300230.72727272729</v>
      </c>
      <c r="Q82" s="623">
        <v>301804.18181818182</v>
      </c>
      <c r="R82" s="623">
        <v>304323.71223636362</v>
      </c>
      <c r="S82" s="623">
        <v>306843.24265454547</v>
      </c>
      <c r="T82" s="623">
        <v>309362.77307272726</v>
      </c>
      <c r="U82" s="623">
        <v>311882.30349090911</v>
      </c>
      <c r="V82" s="623">
        <v>314401.8339090909</v>
      </c>
      <c r="W82" s="623">
        <v>316921.36432727269</v>
      </c>
      <c r="X82" s="623">
        <v>319440.89474545454</v>
      </c>
      <c r="Z82" s="611"/>
      <c r="AB82" s="604" t="s">
        <v>414</v>
      </c>
      <c r="AC82" s="605" t="s">
        <v>122</v>
      </c>
      <c r="AD82" s="612">
        <f t="shared" si="29"/>
        <v>319440.89</v>
      </c>
      <c r="AF82" s="612">
        <v>321960.42516363633</v>
      </c>
    </row>
    <row r="83" spans="2:32">
      <c r="B83" s="604" t="s">
        <v>89</v>
      </c>
      <c r="C83" s="605" t="s">
        <v>122</v>
      </c>
      <c r="E83" s="623">
        <v>166944.91964186693</v>
      </c>
      <c r="F83" s="623">
        <v>170450.57623313746</v>
      </c>
      <c r="G83" s="623">
        <v>173495.20145771306</v>
      </c>
      <c r="H83" s="623">
        <v>182684.43155117275</v>
      </c>
      <c r="I83" s="623">
        <v>192360.37222222224</v>
      </c>
      <c r="J83" s="623">
        <v>205896.9</v>
      </c>
      <c r="K83" s="623">
        <v>135960.166</v>
      </c>
      <c r="L83" s="623">
        <v>191595.57142857142</v>
      </c>
      <c r="M83" s="623">
        <v>266834.5</v>
      </c>
      <c r="N83" s="623">
        <v>231558</v>
      </c>
      <c r="O83" s="623">
        <v>205211.25</v>
      </c>
      <c r="P83" s="623">
        <v>203726.72444444444</v>
      </c>
      <c r="Q83" s="623">
        <v>233132.33333333334</v>
      </c>
      <c r="R83" s="623">
        <v>242686.36008333333</v>
      </c>
      <c r="S83" s="623">
        <v>252240.38683333335</v>
      </c>
      <c r="T83" s="623">
        <v>261794.41358333334</v>
      </c>
      <c r="U83" s="623">
        <v>271348.44033333333</v>
      </c>
      <c r="V83" s="623">
        <v>280902.46708333335</v>
      </c>
      <c r="W83" s="623">
        <v>290456.49383333337</v>
      </c>
      <c r="X83" s="623">
        <v>300010.52058333339</v>
      </c>
      <c r="Z83" s="611"/>
      <c r="AB83" s="604" t="s">
        <v>89</v>
      </c>
      <c r="AC83" s="605" t="s">
        <v>122</v>
      </c>
      <c r="AD83" s="612">
        <f t="shared" si="29"/>
        <v>300010.52</v>
      </c>
      <c r="AF83" s="612">
        <v>309564.54733333341</v>
      </c>
    </row>
    <row r="84" spans="2:32">
      <c r="B84" s="604" t="s">
        <v>90</v>
      </c>
      <c r="C84" s="605" t="s">
        <v>122</v>
      </c>
      <c r="E84" s="623">
        <v>164361.72714896477</v>
      </c>
      <c r="F84" s="623">
        <v>172151.10429532279</v>
      </c>
      <c r="G84" s="623">
        <v>180086.69115784296</v>
      </c>
      <c r="H84" s="623">
        <v>187853.83693391108</v>
      </c>
      <c r="I84" s="623">
        <v>195955.98</v>
      </c>
      <c r="J84" s="623">
        <v>227003.6035714286</v>
      </c>
      <c r="K84" s="623">
        <v>249428.88148148148</v>
      </c>
      <c r="L84" s="623">
        <v>260741.57142857142</v>
      </c>
      <c r="M84" s="623">
        <v>284077.125</v>
      </c>
      <c r="N84" s="623">
        <v>301228.87857142853</v>
      </c>
      <c r="O84" s="623">
        <v>287092.125</v>
      </c>
      <c r="P84" s="623">
        <v>256266.42555555556</v>
      </c>
      <c r="Q84" s="623">
        <v>268281.3125</v>
      </c>
      <c r="R84" s="623">
        <v>276913.18024999998</v>
      </c>
      <c r="S84" s="623">
        <v>285545.04800000001</v>
      </c>
      <c r="T84" s="623">
        <v>294176.91575000004</v>
      </c>
      <c r="U84" s="623">
        <v>302808.78350000002</v>
      </c>
      <c r="V84" s="623">
        <v>311440.65125</v>
      </c>
      <c r="W84" s="623">
        <v>320072.51900000003</v>
      </c>
      <c r="X84" s="623">
        <v>328704.38675000006</v>
      </c>
      <c r="Z84" s="611"/>
      <c r="AB84" s="604" t="s">
        <v>90</v>
      </c>
      <c r="AC84" s="605" t="s">
        <v>122</v>
      </c>
      <c r="AD84" s="612">
        <f t="shared" si="29"/>
        <v>328704.39</v>
      </c>
      <c r="AF84" s="612">
        <v>337336.25450000004</v>
      </c>
    </row>
    <row r="85" spans="2:32">
      <c r="B85" s="604" t="s">
        <v>37</v>
      </c>
      <c r="C85" s="605" t="s">
        <v>122</v>
      </c>
      <c r="E85" s="623">
        <v>17875.190726543595</v>
      </c>
      <c r="F85" s="623">
        <v>19268.811344038695</v>
      </c>
      <c r="G85" s="623">
        <v>20425.409090909092</v>
      </c>
      <c r="H85" s="623">
        <v>23558.78947368421</v>
      </c>
      <c r="I85" s="623">
        <v>26054.254545454543</v>
      </c>
      <c r="J85" s="623">
        <v>27497.611111111109</v>
      </c>
      <c r="K85" s="623">
        <v>32575.047826086957</v>
      </c>
      <c r="L85" s="623">
        <v>32852.875</v>
      </c>
      <c r="M85" s="623">
        <v>37225</v>
      </c>
      <c r="N85" s="623">
        <v>40946.980000000003</v>
      </c>
      <c r="O85" s="623">
        <v>35008.714285714283</v>
      </c>
      <c r="P85" s="623">
        <v>38194.5</v>
      </c>
      <c r="Q85" s="623">
        <v>40340.23529411765</v>
      </c>
      <c r="R85" s="623">
        <v>42287.033764705884</v>
      </c>
      <c r="S85" s="623">
        <v>44233.832235294118</v>
      </c>
      <c r="T85" s="623">
        <v>46180.630705882359</v>
      </c>
      <c r="U85" s="623">
        <v>48127.429176470592</v>
      </c>
      <c r="V85" s="623">
        <v>50074.227647058826</v>
      </c>
      <c r="W85" s="623">
        <v>52021.026117647059</v>
      </c>
      <c r="X85" s="623">
        <v>53967.824588235293</v>
      </c>
      <c r="Z85" s="611"/>
      <c r="AB85" s="604" t="s">
        <v>37</v>
      </c>
      <c r="AC85" s="605" t="s">
        <v>122</v>
      </c>
      <c r="AD85" s="612">
        <f t="shared" si="29"/>
        <v>53967.82</v>
      </c>
      <c r="AF85" s="612">
        <v>55914.623058823534</v>
      </c>
    </row>
    <row r="86" spans="2:32">
      <c r="B86" s="604" t="s">
        <v>415</v>
      </c>
      <c r="C86" s="605" t="s">
        <v>122</v>
      </c>
      <c r="E86" s="623">
        <v>9247.5005586830666</v>
      </c>
      <c r="F86" s="623">
        <v>9455.8375672096026</v>
      </c>
      <c r="G86" s="623">
        <v>9672.3630141065132</v>
      </c>
      <c r="H86" s="623">
        <v>10100.05877013286</v>
      </c>
      <c r="I86" s="623">
        <v>10546.666518963464</v>
      </c>
      <c r="J86" s="623">
        <v>11013.022517369145</v>
      </c>
      <c r="K86" s="623">
        <v>11500</v>
      </c>
      <c r="L86" s="623">
        <v>11000</v>
      </c>
      <c r="M86" s="623">
        <v>11450</v>
      </c>
      <c r="N86" s="623">
        <v>11233.333333333334</v>
      </c>
      <c r="O86" s="623">
        <v>11600</v>
      </c>
      <c r="P86" s="623">
        <v>12344.333333333334</v>
      </c>
      <c r="Q86" s="623">
        <v>14689.6875</v>
      </c>
      <c r="R86" s="623">
        <v>15520.3305</v>
      </c>
      <c r="S86" s="623">
        <v>16350.9735</v>
      </c>
      <c r="T86" s="623">
        <v>17181.6165</v>
      </c>
      <c r="U86" s="623">
        <v>18012.2595</v>
      </c>
      <c r="V86" s="623">
        <v>18842.9025</v>
      </c>
      <c r="W86" s="623">
        <v>19673.5455</v>
      </c>
      <c r="X86" s="623">
        <v>20504.1885</v>
      </c>
      <c r="Z86" s="611"/>
      <c r="AB86" s="604" t="s">
        <v>415</v>
      </c>
      <c r="AC86" s="605" t="s">
        <v>122</v>
      </c>
      <c r="AD86" s="612">
        <f t="shared" si="29"/>
        <v>20504.189999999999</v>
      </c>
      <c r="AF86" s="612">
        <v>21334.8315</v>
      </c>
    </row>
    <row r="87" spans="2:32">
      <c r="B87" s="604" t="s">
        <v>38</v>
      </c>
      <c r="C87" s="605" t="s">
        <v>122</v>
      </c>
      <c r="E87" s="623">
        <v>6562.7382600020483</v>
      </c>
      <c r="F87" s="623">
        <v>7230.1351572921212</v>
      </c>
      <c r="G87" s="623">
        <v>7262.2</v>
      </c>
      <c r="H87" s="623">
        <v>12622.733333333334</v>
      </c>
      <c r="I87" s="623">
        <v>13904.273809523809</v>
      </c>
      <c r="J87" s="623">
        <v>12979.992307692308</v>
      </c>
      <c r="K87" s="623">
        <v>11093.472</v>
      </c>
      <c r="L87" s="623">
        <v>13075.833333333334</v>
      </c>
      <c r="M87" s="623">
        <v>13094.714285714286</v>
      </c>
      <c r="N87" s="623">
        <v>12828.324999999999</v>
      </c>
      <c r="O87" s="623">
        <v>16235.050000000001</v>
      </c>
      <c r="P87" s="623">
        <v>14118.497999999998</v>
      </c>
      <c r="Q87" s="623">
        <v>11660.5</v>
      </c>
      <c r="R87" s="623">
        <v>12141.2</v>
      </c>
      <c r="S87" s="623">
        <v>12621.9</v>
      </c>
      <c r="T87" s="623">
        <v>13102.6</v>
      </c>
      <c r="U87" s="623">
        <v>13583.3</v>
      </c>
      <c r="V87" s="623">
        <v>14064</v>
      </c>
      <c r="W87" s="623">
        <v>14544.7</v>
      </c>
      <c r="X87" s="623">
        <v>15025.4</v>
      </c>
      <c r="Z87" s="611"/>
      <c r="AB87" s="604" t="s">
        <v>38</v>
      </c>
      <c r="AC87" s="605" t="s">
        <v>122</v>
      </c>
      <c r="AD87" s="612">
        <f t="shared" si="29"/>
        <v>15025.4</v>
      </c>
      <c r="AF87" s="612">
        <v>15506.1</v>
      </c>
    </row>
    <row r="88" spans="2:32">
      <c r="B88" s="604" t="s">
        <v>40</v>
      </c>
      <c r="C88" s="605" t="s">
        <v>122</v>
      </c>
      <c r="E88" s="623">
        <v>3999.6673830167988</v>
      </c>
      <c r="F88" s="623">
        <v>3990.0553393770024</v>
      </c>
      <c r="G88" s="623">
        <v>4369.25</v>
      </c>
      <c r="H88" s="623">
        <v>2591.1111111111113</v>
      </c>
      <c r="I88" s="623">
        <v>2957.2452380952382</v>
      </c>
      <c r="J88" s="623">
        <v>3480.4076923076927</v>
      </c>
      <c r="K88" s="623">
        <v>3918.8739999999998</v>
      </c>
      <c r="L88" s="623">
        <v>4382.166666666667</v>
      </c>
      <c r="M88" s="623">
        <v>5037</v>
      </c>
      <c r="N88" s="623">
        <v>5373.8549999999996</v>
      </c>
      <c r="O88" s="623">
        <v>4707.1857142857143</v>
      </c>
      <c r="P88" s="623">
        <v>5035.5959999999995</v>
      </c>
      <c r="Q88" s="623">
        <v>5282.8125</v>
      </c>
      <c r="R88" s="623">
        <v>5524.9764500000001</v>
      </c>
      <c r="S88" s="623">
        <v>5767.1404000000002</v>
      </c>
      <c r="T88" s="623">
        <v>6009.3043500000003</v>
      </c>
      <c r="U88" s="623">
        <v>6251.4683000000005</v>
      </c>
      <c r="V88" s="623">
        <v>6493.6322500000006</v>
      </c>
      <c r="W88" s="623">
        <v>6735.7962000000007</v>
      </c>
      <c r="X88" s="623">
        <v>6977.9601499999999</v>
      </c>
      <c r="Z88" s="611"/>
      <c r="AB88" s="604" t="s">
        <v>40</v>
      </c>
      <c r="AC88" s="605" t="s">
        <v>122</v>
      </c>
      <c r="AD88" s="612">
        <f t="shared" si="29"/>
        <v>6977.96</v>
      </c>
      <c r="AF88" s="612">
        <v>7220.1241</v>
      </c>
    </row>
    <row r="89" spans="2:32">
      <c r="B89" s="604" t="s">
        <v>39</v>
      </c>
      <c r="C89" s="605" t="s">
        <v>122</v>
      </c>
      <c r="E89" s="623">
        <v>2338.654367734006</v>
      </c>
      <c r="F89" s="623">
        <v>2486.5533622767316</v>
      </c>
      <c r="G89" s="623">
        <v>2688.3928571428573</v>
      </c>
      <c r="H89" s="623">
        <v>2608.1904761904761</v>
      </c>
      <c r="I89" s="623">
        <v>2752.7589285714284</v>
      </c>
      <c r="J89" s="623">
        <v>3535.335</v>
      </c>
      <c r="K89" s="623">
        <v>3596.485714285714</v>
      </c>
      <c r="L89" s="623">
        <v>4326.666666666667</v>
      </c>
      <c r="M89" s="623">
        <v>5257</v>
      </c>
      <c r="N89" s="623">
        <v>5036.0630000000001</v>
      </c>
      <c r="O89" s="623">
        <v>4623.7714285714292</v>
      </c>
      <c r="P89" s="623">
        <v>4477.37</v>
      </c>
      <c r="Q89" s="623">
        <v>4741.8666666666668</v>
      </c>
      <c r="R89" s="623">
        <v>4966.5758000000005</v>
      </c>
      <c r="S89" s="623">
        <v>5191.2849333333334</v>
      </c>
      <c r="T89" s="623">
        <v>5415.9940666666671</v>
      </c>
      <c r="U89" s="623">
        <v>5640.7031999999999</v>
      </c>
      <c r="V89" s="623">
        <v>5865.4123333333337</v>
      </c>
      <c r="W89" s="623">
        <v>6090.1214666666674</v>
      </c>
      <c r="X89" s="623">
        <v>6314.8306000000002</v>
      </c>
      <c r="Z89" s="611"/>
      <c r="AB89" s="604" t="s">
        <v>39</v>
      </c>
      <c r="AC89" s="605" t="s">
        <v>122</v>
      </c>
      <c r="AD89" s="612">
        <f t="shared" si="29"/>
        <v>6314.83</v>
      </c>
      <c r="AF89" s="612">
        <v>6539.539733333334</v>
      </c>
    </row>
    <row r="90" spans="2:32">
      <c r="B90" s="604" t="s">
        <v>43</v>
      </c>
      <c r="C90" s="605" t="s">
        <v>122</v>
      </c>
      <c r="E90" s="623">
        <v>1788.3961429060689</v>
      </c>
      <c r="F90" s="623">
        <v>2114.3499212459828</v>
      </c>
      <c r="G90" s="623">
        <v>2435.7692307692309</v>
      </c>
      <c r="H90" s="623">
        <v>2887.0769230769229</v>
      </c>
      <c r="I90" s="623">
        <v>3172.3333333333335</v>
      </c>
      <c r="J90" s="623">
        <v>4488.3357142857139</v>
      </c>
      <c r="K90" s="623">
        <v>5098.5516666666672</v>
      </c>
      <c r="L90" s="623">
        <v>5528.75</v>
      </c>
      <c r="M90" s="623">
        <v>7000</v>
      </c>
      <c r="N90" s="623">
        <v>6743.5375000000004</v>
      </c>
      <c r="O90" s="623">
        <v>7259.9285714285716</v>
      </c>
      <c r="P90" s="623">
        <v>7793.0860000000002</v>
      </c>
      <c r="Q90" s="623">
        <v>7430.5</v>
      </c>
      <c r="R90" s="623">
        <v>7881.3689999999997</v>
      </c>
      <c r="S90" s="623">
        <v>8332.2379999999994</v>
      </c>
      <c r="T90" s="623">
        <v>8783.107</v>
      </c>
      <c r="U90" s="623">
        <v>9233.9760000000006</v>
      </c>
      <c r="V90" s="623">
        <v>9684.8450000000012</v>
      </c>
      <c r="W90" s="623">
        <v>10135.714</v>
      </c>
      <c r="X90" s="623">
        <v>10586.583000000001</v>
      </c>
      <c r="Z90" s="611"/>
      <c r="AB90" s="604" t="s">
        <v>43</v>
      </c>
      <c r="AC90" s="605" t="s">
        <v>122</v>
      </c>
      <c r="AD90" s="612">
        <f t="shared" si="29"/>
        <v>10586.58</v>
      </c>
      <c r="AF90" s="612">
        <v>11037.452000000001</v>
      </c>
    </row>
    <row r="91" spans="2:32">
      <c r="B91" s="604" t="s">
        <v>416</v>
      </c>
      <c r="C91" s="605" t="s">
        <v>122</v>
      </c>
      <c r="E91" s="623">
        <v>2347.0886498177356</v>
      </c>
      <c r="F91" s="623">
        <v>2580.2802510272313</v>
      </c>
      <c r="G91" s="623">
        <v>2764.0526315789475</v>
      </c>
      <c r="H91" s="623">
        <v>3344.625</v>
      </c>
      <c r="I91" s="623">
        <v>3524.0124999999998</v>
      </c>
      <c r="J91" s="623">
        <v>3691.25</v>
      </c>
      <c r="K91" s="623">
        <v>3419.4660000000003</v>
      </c>
      <c r="L91" s="623">
        <v>4348.833333333333</v>
      </c>
      <c r="M91" s="623">
        <v>5066.333333333333</v>
      </c>
      <c r="N91" s="623">
        <v>6098.6</v>
      </c>
      <c r="O91" s="623">
        <v>7256</v>
      </c>
      <c r="P91" s="623">
        <v>6696.2011111111105</v>
      </c>
      <c r="Q91" s="623">
        <v>6177.6</v>
      </c>
      <c r="R91" s="623">
        <v>6736.7466000000004</v>
      </c>
      <c r="S91" s="623">
        <v>7295.8932000000004</v>
      </c>
      <c r="T91" s="623">
        <v>7855.0398000000005</v>
      </c>
      <c r="U91" s="623">
        <v>8414.1864000000005</v>
      </c>
      <c r="V91" s="623">
        <v>8973.3330000000005</v>
      </c>
      <c r="W91" s="623">
        <v>9532.4796000000006</v>
      </c>
      <c r="X91" s="623">
        <v>10091.626200000001</v>
      </c>
      <c r="Z91" s="611"/>
      <c r="AB91" s="604" t="s">
        <v>416</v>
      </c>
      <c r="AC91" s="605" t="s">
        <v>122</v>
      </c>
      <c r="AD91" s="612">
        <f t="shared" si="29"/>
        <v>10091.629999999999</v>
      </c>
      <c r="AF91" s="612">
        <v>10650.772800000001</v>
      </c>
    </row>
    <row r="92" spans="2:32">
      <c r="B92" s="604" t="s">
        <v>44</v>
      </c>
      <c r="C92" s="605" t="s">
        <v>122</v>
      </c>
      <c r="E92" s="623">
        <v>644.0290320416641</v>
      </c>
      <c r="F92" s="623">
        <v>930.83427544295932</v>
      </c>
      <c r="G92" s="623">
        <v>1248.5999999999999</v>
      </c>
      <c r="H92" s="623">
        <v>1601.3636363636363</v>
      </c>
      <c r="I92" s="623">
        <v>1917.7571428571428</v>
      </c>
      <c r="J92" s="623">
        <v>2937.5</v>
      </c>
      <c r="K92" s="623">
        <v>3673.8985714285714</v>
      </c>
      <c r="L92" s="623">
        <v>3743.6</v>
      </c>
      <c r="M92" s="623">
        <v>5081.25</v>
      </c>
      <c r="N92" s="623">
        <v>4589.7266666666665</v>
      </c>
      <c r="O92" s="623">
        <v>7831.05</v>
      </c>
      <c r="P92" s="623">
        <v>8041.9214285714279</v>
      </c>
      <c r="Q92" s="623">
        <v>6922.7692307692305</v>
      </c>
      <c r="R92" s="623">
        <v>7137.9675076923077</v>
      </c>
      <c r="S92" s="623">
        <v>7353.1657846153848</v>
      </c>
      <c r="T92" s="623">
        <v>7568.3640615384611</v>
      </c>
      <c r="U92" s="623">
        <v>7783.5623384615383</v>
      </c>
      <c r="V92" s="623">
        <v>7998.7606153846154</v>
      </c>
      <c r="W92" s="623">
        <v>8213.9588923076917</v>
      </c>
      <c r="X92" s="623">
        <v>8429.1571692307698</v>
      </c>
      <c r="Z92" s="611"/>
      <c r="AB92" s="604" t="s">
        <v>44</v>
      </c>
      <c r="AC92" s="605" t="s">
        <v>122</v>
      </c>
      <c r="AD92" s="612">
        <f t="shared" si="29"/>
        <v>8429.16</v>
      </c>
      <c r="AF92" s="612">
        <v>8644.3554461538461</v>
      </c>
    </row>
    <row r="93" spans="2:32">
      <c r="B93" s="604" t="s">
        <v>91</v>
      </c>
      <c r="C93" s="605" t="s">
        <v>122</v>
      </c>
      <c r="E93" s="623">
        <v>3555.6707316137217</v>
      </c>
      <c r="F93" s="623">
        <v>3705.714910346614</v>
      </c>
      <c r="G93" s="623">
        <v>3857.590057141746</v>
      </c>
      <c r="H93" s="623">
        <v>4082.0956063736689</v>
      </c>
      <c r="I93" s="623">
        <v>4319.6670182009739</v>
      </c>
      <c r="J93" s="623">
        <v>4571.0647048537621</v>
      </c>
      <c r="K93" s="623">
        <v>4837.0933333333332</v>
      </c>
      <c r="L93" s="623">
        <v>4277.5</v>
      </c>
      <c r="M93" s="623">
        <v>5209.2857142857147</v>
      </c>
      <c r="N93" s="623">
        <v>6133.1449999999995</v>
      </c>
      <c r="O93" s="623">
        <v>6021.393287500001</v>
      </c>
      <c r="P93" s="623">
        <v>6307.358888888888</v>
      </c>
      <c r="Q93" s="623">
        <v>6562.333333333333</v>
      </c>
      <c r="R93" s="623">
        <v>6724.95</v>
      </c>
      <c r="S93" s="623">
        <v>6887.5666666666666</v>
      </c>
      <c r="T93" s="623">
        <v>7050.1833333333334</v>
      </c>
      <c r="U93" s="623">
        <v>7212.8</v>
      </c>
      <c r="V93" s="623">
        <v>7375.4166666666661</v>
      </c>
      <c r="W93" s="623">
        <v>7538.0333333333328</v>
      </c>
      <c r="X93" s="623">
        <v>7700.65</v>
      </c>
      <c r="Z93" s="611"/>
      <c r="AB93" s="604" t="s">
        <v>91</v>
      </c>
      <c r="AC93" s="605" t="s">
        <v>122</v>
      </c>
      <c r="AD93" s="612">
        <f t="shared" si="29"/>
        <v>7700.65</v>
      </c>
      <c r="AF93" s="612">
        <v>7863.2666666666664</v>
      </c>
    </row>
    <row r="94" spans="2:32">
      <c r="B94" s="604" t="s">
        <v>41</v>
      </c>
      <c r="C94" s="605" t="s">
        <v>122</v>
      </c>
      <c r="E94" s="623">
        <v>4963.1147186646795</v>
      </c>
      <c r="F94" s="623">
        <v>5146.847871534238</v>
      </c>
      <c r="G94" s="623">
        <v>5181.9047619047615</v>
      </c>
      <c r="H94" s="623">
        <v>6560.919047619047</v>
      </c>
      <c r="I94" s="623">
        <v>7939.9333333333334</v>
      </c>
      <c r="J94" s="623">
        <v>7766.0812500000002</v>
      </c>
      <c r="K94" s="623">
        <v>5831.958333333333</v>
      </c>
      <c r="L94" s="623">
        <v>7256.4</v>
      </c>
      <c r="M94" s="623">
        <v>5319.5</v>
      </c>
      <c r="N94" s="623">
        <v>5115.1010000000006</v>
      </c>
      <c r="O94" s="623">
        <v>6883.68</v>
      </c>
      <c r="P94" s="623">
        <v>7272.1212500000001</v>
      </c>
      <c r="Q94" s="623">
        <v>8152</v>
      </c>
      <c r="R94" s="623">
        <v>7978.4070000000002</v>
      </c>
      <c r="S94" s="623">
        <v>7804.8140000000003</v>
      </c>
      <c r="T94" s="623">
        <v>7631.2209999999995</v>
      </c>
      <c r="U94" s="623">
        <v>7457.6279999999997</v>
      </c>
      <c r="V94" s="623">
        <v>7284.0349999999999</v>
      </c>
      <c r="W94" s="623">
        <v>7110.442</v>
      </c>
      <c r="X94" s="623">
        <v>6936.8490000000002</v>
      </c>
      <c r="Z94" s="611"/>
      <c r="AB94" s="604" t="s">
        <v>41</v>
      </c>
      <c r="AC94" s="605" t="s">
        <v>122</v>
      </c>
      <c r="AD94" s="612">
        <f t="shared" si="29"/>
        <v>6936.85</v>
      </c>
      <c r="AF94" s="612">
        <v>6763.2559999999994</v>
      </c>
    </row>
    <row r="95" spans="2:32">
      <c r="B95" s="604" t="s">
        <v>42</v>
      </c>
      <c r="C95" s="605" t="s">
        <v>122</v>
      </c>
      <c r="E95" s="623">
        <v>2936.4592606034739</v>
      </c>
      <c r="F95" s="623">
        <v>3143.1967504891832</v>
      </c>
      <c r="G95" s="623">
        <v>3271.6363636363635</v>
      </c>
      <c r="H95" s="623">
        <v>4083.5454545454545</v>
      </c>
      <c r="I95" s="623">
        <v>3974.6764705882351</v>
      </c>
      <c r="J95" s="623">
        <v>3777.8208333333332</v>
      </c>
      <c r="K95" s="623">
        <v>4317.4444444444443</v>
      </c>
      <c r="L95" s="623">
        <v>4921.25</v>
      </c>
      <c r="M95" s="623">
        <v>5075</v>
      </c>
      <c r="N95" s="623">
        <v>5225.8571428571431</v>
      </c>
      <c r="O95" s="623">
        <v>6783.06</v>
      </c>
      <c r="P95" s="623">
        <v>6174.82</v>
      </c>
      <c r="Q95" s="623">
        <v>7319.2</v>
      </c>
      <c r="R95" s="623">
        <v>7373.9546</v>
      </c>
      <c r="S95" s="623">
        <v>7428.7092000000002</v>
      </c>
      <c r="T95" s="623">
        <v>7483.4638000000004</v>
      </c>
      <c r="U95" s="623">
        <v>7538.2184000000007</v>
      </c>
      <c r="V95" s="623">
        <v>7592.973</v>
      </c>
      <c r="W95" s="623">
        <v>7647.7276000000002</v>
      </c>
      <c r="X95" s="623">
        <v>7702.4822000000004</v>
      </c>
      <c r="Z95" s="611"/>
      <c r="AB95" s="604" t="s">
        <v>42</v>
      </c>
      <c r="AC95" s="605" t="s">
        <v>122</v>
      </c>
      <c r="AD95" s="612">
        <f t="shared" si="29"/>
        <v>7702.48</v>
      </c>
      <c r="AF95" s="612">
        <v>7757.2368000000006</v>
      </c>
    </row>
    <row r="96" spans="2:32">
      <c r="B96" s="604" t="s">
        <v>46</v>
      </c>
      <c r="C96" s="605" t="s">
        <v>122</v>
      </c>
      <c r="E96" s="623">
        <v>1505.614116234633</v>
      </c>
      <c r="F96" s="623">
        <v>1625.5957512238761</v>
      </c>
      <c r="G96" s="623">
        <v>1819.421052631579</v>
      </c>
      <c r="H96" s="623">
        <v>1642.7857142857142</v>
      </c>
      <c r="I96" s="623">
        <v>2001.7521611284494</v>
      </c>
      <c r="J96" s="623">
        <v>2543.0497164680551</v>
      </c>
      <c r="K96" s="623">
        <v>2666.8</v>
      </c>
      <c r="L96" s="623">
        <v>3204.8571428571427</v>
      </c>
      <c r="M96" s="623">
        <v>3023</v>
      </c>
      <c r="N96" s="623">
        <v>4634.5</v>
      </c>
      <c r="O96" s="623">
        <v>3195.3774666666664</v>
      </c>
      <c r="P96" s="623">
        <v>3732.4674999999997</v>
      </c>
      <c r="Q96" s="623">
        <v>3366.9166666666665</v>
      </c>
      <c r="R96" s="623">
        <v>3459.85</v>
      </c>
      <c r="S96" s="623">
        <v>3552.7833333333333</v>
      </c>
      <c r="T96" s="623">
        <v>3645.7166666666667</v>
      </c>
      <c r="U96" s="623">
        <v>3738.65</v>
      </c>
      <c r="V96" s="623">
        <v>3831.5833333333335</v>
      </c>
      <c r="W96" s="623">
        <v>3924.5166666666664</v>
      </c>
      <c r="X96" s="623">
        <v>4017.45</v>
      </c>
      <c r="Z96" s="611"/>
      <c r="AB96" s="604" t="s">
        <v>46</v>
      </c>
      <c r="AC96" s="605" t="s">
        <v>122</v>
      </c>
      <c r="AD96" s="612">
        <f t="shared" si="29"/>
        <v>4017.45</v>
      </c>
      <c r="AF96" s="612">
        <v>4110.3833333333332</v>
      </c>
    </row>
    <row r="97" spans="2:32">
      <c r="B97" s="604" t="s">
        <v>45</v>
      </c>
      <c r="C97" s="605" t="s">
        <v>122</v>
      </c>
      <c r="E97" s="623">
        <v>1806.6993703308422</v>
      </c>
      <c r="F97" s="623">
        <v>1905.0647689363177</v>
      </c>
      <c r="G97" s="623">
        <v>2003.7922781646578</v>
      </c>
      <c r="H97" s="623">
        <v>2172.8733748162708</v>
      </c>
      <c r="I97" s="623">
        <v>2356.2216275780456</v>
      </c>
      <c r="J97" s="623">
        <v>2555.0409069446901</v>
      </c>
      <c r="K97" s="623">
        <v>2770.6366666666668</v>
      </c>
      <c r="L97" s="623">
        <v>1964.4</v>
      </c>
      <c r="M97" s="623">
        <v>2712.375</v>
      </c>
      <c r="N97" s="623">
        <v>3091.3512499999997</v>
      </c>
      <c r="O97" s="623">
        <v>3839.5</v>
      </c>
      <c r="P97" s="623">
        <v>3715.5587500000001</v>
      </c>
      <c r="Q97" s="623">
        <v>3964.7142857142858</v>
      </c>
      <c r="R97" s="623">
        <v>4180.0560571428568</v>
      </c>
      <c r="S97" s="623">
        <v>4395.3978285714284</v>
      </c>
      <c r="T97" s="623">
        <v>4610.7395999999999</v>
      </c>
      <c r="U97" s="623">
        <v>4826.0813714285714</v>
      </c>
      <c r="V97" s="623">
        <v>5041.4231428571429</v>
      </c>
      <c r="W97" s="623">
        <v>5256.7649142857144</v>
      </c>
      <c r="X97" s="623">
        <v>5472.106685714285</v>
      </c>
      <c r="Z97" s="611"/>
      <c r="AB97" s="604" t="s">
        <v>45</v>
      </c>
      <c r="AC97" s="605" t="s">
        <v>122</v>
      </c>
      <c r="AD97" s="612">
        <f t="shared" si="29"/>
        <v>5472.11</v>
      </c>
      <c r="AF97" s="612">
        <v>5687.4484571428566</v>
      </c>
    </row>
    <row r="98" spans="2:32">
      <c r="B98" s="604" t="s">
        <v>417</v>
      </c>
      <c r="C98" s="605" t="s">
        <v>122</v>
      </c>
      <c r="E98" s="623">
        <v>1027.2458408469879</v>
      </c>
      <c r="F98" s="623">
        <v>1089.6913273486959</v>
      </c>
      <c r="G98" s="623">
        <v>1129.7647058823529</v>
      </c>
      <c r="H98" s="623">
        <v>1364</v>
      </c>
      <c r="I98" s="623">
        <v>1276.9842105263158</v>
      </c>
      <c r="J98" s="623">
        <v>1275.5083333333334</v>
      </c>
      <c r="K98" s="623">
        <v>1415.0071428571428</v>
      </c>
      <c r="L98" s="623">
        <v>1446.2</v>
      </c>
      <c r="M98" s="623">
        <v>1951</v>
      </c>
      <c r="N98" s="623">
        <v>1993.2049999999999</v>
      </c>
      <c r="O98" s="623">
        <v>2033.9666666666665</v>
      </c>
      <c r="P98" s="623">
        <v>2102.877</v>
      </c>
      <c r="Q98" s="623">
        <v>2136.1875</v>
      </c>
      <c r="R98" s="623">
        <v>2266.6655277777777</v>
      </c>
      <c r="S98" s="623">
        <v>2397.1435555555554</v>
      </c>
      <c r="T98" s="623">
        <v>2527.6215833333335</v>
      </c>
      <c r="U98" s="623">
        <v>2658.0996111111112</v>
      </c>
      <c r="V98" s="623">
        <v>2788.5776388888889</v>
      </c>
      <c r="W98" s="623">
        <v>2919.0556666666666</v>
      </c>
      <c r="X98" s="623">
        <v>3049.5336944444443</v>
      </c>
      <c r="Z98" s="611"/>
      <c r="AB98" s="604" t="s">
        <v>417</v>
      </c>
      <c r="AC98" s="605" t="s">
        <v>122</v>
      </c>
      <c r="AD98" s="612">
        <f t="shared" si="29"/>
        <v>3049.53</v>
      </c>
      <c r="AF98" s="612">
        <v>3180.0117222222225</v>
      </c>
    </row>
    <row r="99" spans="2:32">
      <c r="B99" s="604" t="s">
        <v>47</v>
      </c>
      <c r="C99" s="605" t="s">
        <v>122</v>
      </c>
      <c r="E99" s="623">
        <v>3120.767028075134</v>
      </c>
      <c r="F99" s="623">
        <v>3529.4263468533077</v>
      </c>
      <c r="G99" s="623">
        <v>3899</v>
      </c>
      <c r="H99" s="623">
        <v>4612.5333333333338</v>
      </c>
      <c r="I99" s="623">
        <v>5557.5033333333331</v>
      </c>
      <c r="J99" s="623">
        <v>6093.708333333333</v>
      </c>
      <c r="K99" s="623">
        <v>6238.8468750000002</v>
      </c>
      <c r="L99" s="623">
        <v>7625</v>
      </c>
      <c r="M99" s="623">
        <v>7622</v>
      </c>
      <c r="N99" s="623">
        <v>9174.2749999999996</v>
      </c>
      <c r="O99" s="623">
        <v>11333.383333333333</v>
      </c>
      <c r="P99" s="623">
        <v>11053.5</v>
      </c>
      <c r="Q99" s="623">
        <v>9406.9285714285706</v>
      </c>
      <c r="R99" s="623">
        <v>10494.419714285714</v>
      </c>
      <c r="S99" s="623">
        <v>11581.910857142857</v>
      </c>
      <c r="T99" s="623">
        <v>12669.401999999998</v>
      </c>
      <c r="U99" s="623">
        <v>13756.893142857141</v>
      </c>
      <c r="V99" s="623">
        <v>14844.384285714284</v>
      </c>
      <c r="W99" s="623">
        <v>15931.875428571428</v>
      </c>
      <c r="X99" s="623">
        <v>17019.366571428571</v>
      </c>
      <c r="Z99" s="611"/>
      <c r="AB99" s="604" t="s">
        <v>47</v>
      </c>
      <c r="AC99" s="605" t="s">
        <v>122</v>
      </c>
      <c r="AD99" s="612">
        <f t="shared" si="29"/>
        <v>17019.37</v>
      </c>
      <c r="AF99" s="612">
        <v>18106.857714285714</v>
      </c>
    </row>
    <row r="100" spans="2:32">
      <c r="B100" s="604" t="s">
        <v>49</v>
      </c>
      <c r="C100" s="605" t="s">
        <v>122</v>
      </c>
      <c r="E100" s="623">
        <v>1771.0867063179471</v>
      </c>
      <c r="F100" s="623">
        <v>1984.238944590956</v>
      </c>
      <c r="G100" s="623">
        <v>2213.0611352137635</v>
      </c>
      <c r="H100" s="623">
        <v>2461.9010179936054</v>
      </c>
      <c r="I100" s="623">
        <v>2738.7208269836215</v>
      </c>
      <c r="J100" s="623">
        <v>3046.6666666666665</v>
      </c>
      <c r="K100" s="623">
        <v>3939.3849999999998</v>
      </c>
      <c r="L100" s="623">
        <v>4160.5714285714284</v>
      </c>
      <c r="M100" s="623">
        <v>4790</v>
      </c>
      <c r="N100" s="623">
        <v>4735.2066666666669</v>
      </c>
      <c r="O100" s="623">
        <v>4884.8571428571431</v>
      </c>
      <c r="P100" s="623">
        <v>6081.4877777777774</v>
      </c>
      <c r="Q100" s="623">
        <v>6212.3125</v>
      </c>
      <c r="R100" s="623">
        <v>6430.3163750000003</v>
      </c>
      <c r="S100" s="623">
        <v>6648.3202499999998</v>
      </c>
      <c r="T100" s="623">
        <v>6866.3241250000001</v>
      </c>
      <c r="U100" s="623">
        <v>7084.3279999999995</v>
      </c>
      <c r="V100" s="623">
        <v>7302.3318749999999</v>
      </c>
      <c r="W100" s="623">
        <v>7520.3357500000002</v>
      </c>
      <c r="X100" s="623">
        <v>7738.3396249999996</v>
      </c>
      <c r="Z100" s="611"/>
      <c r="AB100" s="604" t="s">
        <v>49</v>
      </c>
      <c r="AC100" s="605" t="s">
        <v>122</v>
      </c>
      <c r="AD100" s="612">
        <f t="shared" si="29"/>
        <v>7738.34</v>
      </c>
      <c r="AF100" s="612">
        <v>7956.3434999999999</v>
      </c>
    </row>
    <row r="101" spans="2:32">
      <c r="B101" s="604" t="s">
        <v>51</v>
      </c>
      <c r="C101" s="605" t="s">
        <v>122</v>
      </c>
      <c r="E101" s="623">
        <v>2722.4294199380979</v>
      </c>
      <c r="F101" s="623">
        <v>2828.9731854700722</v>
      </c>
      <c r="G101" s="623">
        <v>2886.1428571428573</v>
      </c>
      <c r="H101" s="623">
        <v>3451.6666666666665</v>
      </c>
      <c r="I101" s="623">
        <v>3214.1153846153848</v>
      </c>
      <c r="J101" s="623">
        <v>2491.2583091828324</v>
      </c>
      <c r="K101" s="623">
        <v>2789.0027488454734</v>
      </c>
      <c r="L101" s="623">
        <v>3122.3323187305596</v>
      </c>
      <c r="M101" s="623">
        <v>3495.5</v>
      </c>
      <c r="N101" s="623">
        <v>4302.4633333333331</v>
      </c>
      <c r="O101" s="623">
        <v>3925.8</v>
      </c>
      <c r="P101" s="623">
        <v>6455.4</v>
      </c>
      <c r="Q101" s="623">
        <v>5179.2142857142853</v>
      </c>
      <c r="R101" s="623">
        <v>5558.2946571428565</v>
      </c>
      <c r="S101" s="623">
        <v>5937.3750285714286</v>
      </c>
      <c r="T101" s="623">
        <v>6316.4553999999998</v>
      </c>
      <c r="U101" s="623">
        <v>6695.535771428571</v>
      </c>
      <c r="V101" s="623">
        <v>7074.6161428571431</v>
      </c>
      <c r="W101" s="623">
        <v>7453.6965142857143</v>
      </c>
      <c r="X101" s="623">
        <v>7832.7768857142855</v>
      </c>
      <c r="Z101" s="611"/>
      <c r="AB101" s="604" t="s">
        <v>51</v>
      </c>
      <c r="AC101" s="605" t="s">
        <v>122</v>
      </c>
      <c r="AD101" s="612">
        <f t="shared" si="29"/>
        <v>7832.78</v>
      </c>
      <c r="AF101" s="612">
        <v>8211.8572571428576</v>
      </c>
    </row>
    <row r="102" spans="2:32">
      <c r="B102" s="604" t="s">
        <v>50</v>
      </c>
      <c r="C102" s="605" t="s">
        <v>122</v>
      </c>
      <c r="E102" s="623">
        <v>458.21552874227211</v>
      </c>
      <c r="F102" s="623">
        <v>524.98044050403723</v>
      </c>
      <c r="G102" s="623">
        <v>584.4375</v>
      </c>
      <c r="H102" s="623">
        <v>703.4666666666667</v>
      </c>
      <c r="I102" s="623">
        <v>692.50277777777774</v>
      </c>
      <c r="J102" s="623">
        <v>792.8458333333333</v>
      </c>
      <c r="K102" s="623">
        <v>1038.9033333333332</v>
      </c>
      <c r="L102" s="623">
        <v>1229.25</v>
      </c>
      <c r="M102" s="623">
        <v>1106</v>
      </c>
      <c r="N102" s="623">
        <v>1454.7159999999999</v>
      </c>
      <c r="O102" s="623">
        <v>1626</v>
      </c>
      <c r="P102" s="623">
        <v>2109.1428571428573</v>
      </c>
      <c r="Q102" s="623">
        <v>1632.2727272727273</v>
      </c>
      <c r="R102" s="623">
        <v>1650.8720545454546</v>
      </c>
      <c r="S102" s="623">
        <v>1669.4713818181817</v>
      </c>
      <c r="T102" s="623">
        <v>1688.0707090909091</v>
      </c>
      <c r="U102" s="623">
        <v>1706.6700363636364</v>
      </c>
      <c r="V102" s="623">
        <v>1725.2693636363638</v>
      </c>
      <c r="W102" s="623">
        <v>1743.8686909090909</v>
      </c>
      <c r="X102" s="623">
        <v>1762.4680181818183</v>
      </c>
      <c r="Z102" s="611"/>
      <c r="AB102" s="604" t="s">
        <v>50</v>
      </c>
      <c r="AC102" s="605" t="s">
        <v>122</v>
      </c>
      <c r="AD102" s="612">
        <f t="shared" si="29"/>
        <v>1762.47</v>
      </c>
      <c r="AF102" s="612">
        <v>1781.0673454545456</v>
      </c>
    </row>
    <row r="103" spans="2:32">
      <c r="B103" s="604" t="s">
        <v>48</v>
      </c>
      <c r="C103" s="605" t="s">
        <v>122</v>
      </c>
      <c r="E103" s="623">
        <v>745.64475028665959</v>
      </c>
      <c r="F103" s="623">
        <v>792.98302949743743</v>
      </c>
      <c r="G103" s="623">
        <v>840.5</v>
      </c>
      <c r="H103" s="623">
        <v>914.16666666666663</v>
      </c>
      <c r="I103" s="623">
        <v>874.984375</v>
      </c>
      <c r="J103" s="623">
        <v>838.75</v>
      </c>
      <c r="K103" s="623">
        <v>1197.0911764705882</v>
      </c>
      <c r="L103" s="623">
        <v>1499</v>
      </c>
      <c r="M103" s="623">
        <v>1489</v>
      </c>
      <c r="N103" s="623">
        <v>1453.0250000000001</v>
      </c>
      <c r="O103" s="623">
        <v>1349.600275</v>
      </c>
      <c r="P103" s="623">
        <v>1476.5714285714287</v>
      </c>
      <c r="Q103" s="623">
        <v>1728.2</v>
      </c>
      <c r="R103" s="623">
        <v>1783.43</v>
      </c>
      <c r="S103" s="623">
        <v>1838.66</v>
      </c>
      <c r="T103" s="623">
        <v>1893.89</v>
      </c>
      <c r="U103" s="623">
        <v>1949.1200000000001</v>
      </c>
      <c r="V103" s="623">
        <v>2004.35</v>
      </c>
      <c r="W103" s="623">
        <v>2059.58</v>
      </c>
      <c r="X103" s="623">
        <v>2114.81</v>
      </c>
      <c r="Z103" s="611"/>
      <c r="AB103" s="604" t="s">
        <v>48</v>
      </c>
      <c r="AC103" s="605" t="s">
        <v>122</v>
      </c>
      <c r="AD103" s="612">
        <f t="shared" si="29"/>
        <v>2114.81</v>
      </c>
      <c r="AF103" s="612">
        <v>2170.04</v>
      </c>
    </row>
    <row r="104" spans="2:32">
      <c r="Z104" s="611"/>
      <c r="AC104" s="605"/>
    </row>
    <row r="105" spans="2:32">
      <c r="B105" s="608" t="s">
        <v>493</v>
      </c>
      <c r="Z105" s="611"/>
      <c r="AB105" s="608" t="s">
        <v>493</v>
      </c>
      <c r="AC105" s="605"/>
    </row>
    <row r="106" spans="2:32">
      <c r="B106" s="604" t="s">
        <v>194</v>
      </c>
      <c r="C106" s="605" t="s">
        <v>0</v>
      </c>
      <c r="E106" s="615">
        <v>6.7410962812169822E-3</v>
      </c>
      <c r="F106" s="615">
        <v>7.660066123328247E-3</v>
      </c>
      <c r="G106" s="615">
        <v>8.8850788833764478E-3</v>
      </c>
      <c r="H106" s="615">
        <v>1.0085384674599077E-2</v>
      </c>
      <c r="I106" s="615">
        <v>1.1201880869114857E-2</v>
      </c>
      <c r="J106" s="615">
        <v>1.3178059693885176E-2</v>
      </c>
      <c r="K106" s="615">
        <v>1.4010702225453493E-2</v>
      </c>
      <c r="L106" s="615">
        <v>1.6057530605537305E-2</v>
      </c>
      <c r="M106" s="615">
        <v>1.7695591690451387E-2</v>
      </c>
      <c r="N106" s="615">
        <v>1.8001758985583552E-2</v>
      </c>
      <c r="O106" s="615">
        <v>1.9164145782686604E-2</v>
      </c>
      <c r="P106" s="615">
        <v>1.8674518770812665E-2</v>
      </c>
      <c r="Q106" s="615">
        <v>1.9400000000000008E-2</v>
      </c>
      <c r="R106" s="615">
        <v>1.9443629168531266E-2</v>
      </c>
      <c r="S106" s="615">
        <v>1.9481965406907029E-2</v>
      </c>
      <c r="T106" s="787">
        <v>2.0989956481192163E-2</v>
      </c>
      <c r="U106" s="787">
        <v>2.1838381191414808E-2</v>
      </c>
      <c r="V106" s="787">
        <v>2.2611866660438577E-2</v>
      </c>
      <c r="W106" s="787">
        <v>2.2903192225791215E-2</v>
      </c>
      <c r="X106" s="787">
        <v>2.2188864358115398E-2</v>
      </c>
      <c r="Z106" s="611"/>
      <c r="AB106" s="604" t="s">
        <v>194</v>
      </c>
      <c r="AC106" s="605" t="s">
        <v>0</v>
      </c>
      <c r="AD106" s="615">
        <f t="shared" ref="AD106" si="30">ROUND(LOOKUP(MID($AD$3,1,4),$E$134:$Y$134,E106:Y106),4)</f>
        <v>2.2200000000000001E-2</v>
      </c>
      <c r="AF106" s="787">
        <v>2.46E-2</v>
      </c>
    </row>
    <row r="107" spans="2:32">
      <c r="B107" s="604" t="s">
        <v>494</v>
      </c>
      <c r="Z107" s="611"/>
      <c r="AB107" s="604" t="s">
        <v>494</v>
      </c>
      <c r="AC107" s="605"/>
    </row>
    <row r="108" spans="2:32">
      <c r="B108" s="624" t="s">
        <v>491</v>
      </c>
      <c r="C108" s="605" t="s">
        <v>0</v>
      </c>
      <c r="E108" s="615">
        <v>4.6100000000000002E-2</v>
      </c>
      <c r="F108" s="615">
        <v>4.9799999999999997E-2</v>
      </c>
      <c r="G108" s="615">
        <v>5.0299999999999997E-2</v>
      </c>
      <c r="H108" s="615">
        <v>5.16E-2</v>
      </c>
      <c r="I108" s="615">
        <v>5.4199999999999998E-2</v>
      </c>
      <c r="J108" s="615">
        <v>5.4699999999999999E-2</v>
      </c>
      <c r="K108" s="615">
        <v>5.4699999999999999E-2</v>
      </c>
      <c r="L108" s="615">
        <v>5.4199999999999998E-2</v>
      </c>
      <c r="M108" s="615">
        <v>4.8300000000000003E-2</v>
      </c>
      <c r="N108" s="615">
        <v>5.0799999999999998E-2</v>
      </c>
      <c r="O108" s="615">
        <v>5.33E-2</v>
      </c>
      <c r="P108" s="615">
        <v>5.3900000000000003E-2</v>
      </c>
      <c r="Q108" s="615">
        <v>5.2386698550116947E-2</v>
      </c>
      <c r="R108" s="615">
        <v>5.8967739675954318E-2</v>
      </c>
      <c r="S108" s="615">
        <v>5.6212807418158858E-2</v>
      </c>
      <c r="T108" s="787">
        <v>6.5040465491269059E-2</v>
      </c>
      <c r="U108" s="787">
        <v>7.0074021122777011E-2</v>
      </c>
      <c r="V108" s="787">
        <v>7.5823355685855146E-2</v>
      </c>
      <c r="W108" s="787">
        <v>7.7411245421404415E-2</v>
      </c>
      <c r="X108" s="787">
        <v>7.8155851490994674E-2</v>
      </c>
      <c r="Z108" s="611"/>
      <c r="AB108" s="624" t="s">
        <v>491</v>
      </c>
      <c r="AC108" s="605" t="s">
        <v>0</v>
      </c>
      <c r="AD108" s="615">
        <f t="shared" ref="AD108:AD112" si="31">ROUND(LOOKUP(MID($AD$3,1,4),$E$134:$Y$134,E108:Y108),4)</f>
        <v>7.8200000000000006E-2</v>
      </c>
      <c r="AF108" s="787">
        <v>6.8099999999999994E-2</v>
      </c>
    </row>
    <row r="109" spans="2:32">
      <c r="B109" s="624" t="s">
        <v>492</v>
      </c>
      <c r="C109" s="605" t="s">
        <v>0</v>
      </c>
      <c r="E109" s="615">
        <v>3.711970463680344E-2</v>
      </c>
      <c r="F109" s="615">
        <v>4.007714790715141E-2</v>
      </c>
      <c r="G109" s="615">
        <v>4.0494223240149188E-2</v>
      </c>
      <c r="H109" s="615">
        <v>4.1517953602961961E-2</v>
      </c>
      <c r="I109" s="615">
        <v>4.3603330267950886E-2</v>
      </c>
      <c r="J109" s="615">
        <v>4.4020405600948651E-2</v>
      </c>
      <c r="K109" s="615">
        <v>4.4020405600948671E-2</v>
      </c>
      <c r="L109" s="615">
        <v>4.3603330267950886E-2</v>
      </c>
      <c r="M109" s="615">
        <v>3.8825921908158E-2</v>
      </c>
      <c r="N109" s="615">
        <v>4.0797550755056658E-2</v>
      </c>
      <c r="O109" s="615">
        <v>4.2807095541318743E-2</v>
      </c>
      <c r="P109" s="615">
        <v>4.3300002753043403E-2</v>
      </c>
      <c r="Q109" s="615">
        <v>4.2114866656414209E-2</v>
      </c>
      <c r="R109" s="615">
        <v>4.740551632791179E-2</v>
      </c>
      <c r="S109" s="615">
        <v>4.5190763195997713E-2</v>
      </c>
      <c r="T109" s="787">
        <v>5.2287519680504685E-2</v>
      </c>
      <c r="U109" s="787">
        <v>5.633411032461251E-2</v>
      </c>
      <c r="V109" s="787">
        <v>6.0956132043646923E-2</v>
      </c>
      <c r="W109" s="787">
        <v>6.2232672965838655E-2</v>
      </c>
      <c r="X109" s="787">
        <v>6.2831278837181176E-2</v>
      </c>
      <c r="Z109" s="611"/>
      <c r="AB109" s="624" t="s">
        <v>492</v>
      </c>
      <c r="AC109" s="605" t="s">
        <v>0</v>
      </c>
      <c r="AD109" s="615">
        <f t="shared" si="31"/>
        <v>6.2799999999999995E-2</v>
      </c>
      <c r="AF109" s="787">
        <v>5.4800000000000001E-2</v>
      </c>
    </row>
    <row r="110" spans="2:32">
      <c r="B110" s="624" t="s">
        <v>88</v>
      </c>
      <c r="C110" s="605" t="s">
        <v>0</v>
      </c>
      <c r="E110" s="615">
        <v>1.4847881854721377E-2</v>
      </c>
      <c r="F110" s="615">
        <v>1.6030859162860563E-2</v>
      </c>
      <c r="G110" s="615">
        <v>1.6197689296059675E-2</v>
      </c>
      <c r="H110" s="615">
        <v>1.6607181441184785E-2</v>
      </c>
      <c r="I110" s="615">
        <v>1.7441332107180355E-2</v>
      </c>
      <c r="J110" s="615">
        <v>1.760816224037946E-2</v>
      </c>
      <c r="K110" s="615">
        <v>1.760816224037947E-2</v>
      </c>
      <c r="L110" s="615">
        <v>1.7441332107180355E-2</v>
      </c>
      <c r="M110" s="615">
        <v>1.55303687632632E-2</v>
      </c>
      <c r="N110" s="615">
        <v>1.6319020302022664E-2</v>
      </c>
      <c r="O110" s="615">
        <v>1.7122838216527499E-2</v>
      </c>
      <c r="P110" s="615">
        <v>1.7320001101217362E-2</v>
      </c>
      <c r="Q110" s="615">
        <v>1.6845946662565683E-2</v>
      </c>
      <c r="R110" s="615">
        <v>1.8962206531164719E-2</v>
      </c>
      <c r="S110" s="615">
        <v>1.8076305278399086E-2</v>
      </c>
      <c r="T110" s="787">
        <v>2.0915007872201876E-2</v>
      </c>
      <c r="U110" s="787">
        <v>2.2533644129845005E-2</v>
      </c>
      <c r="V110" s="787">
        <v>2.438245281745877E-2</v>
      </c>
      <c r="W110" s="787">
        <v>2.4893069186335465E-2</v>
      </c>
      <c r="X110" s="787">
        <v>2.5132511534872472E-2</v>
      </c>
      <c r="Z110" s="611"/>
      <c r="AB110" s="624" t="s">
        <v>88</v>
      </c>
      <c r="AC110" s="605" t="s">
        <v>0</v>
      </c>
      <c r="AD110" s="615">
        <f t="shared" si="31"/>
        <v>2.5100000000000001E-2</v>
      </c>
      <c r="AF110" s="787">
        <v>2.1899999999999999E-2</v>
      </c>
    </row>
    <row r="111" spans="2:32">
      <c r="B111" s="604" t="s">
        <v>495</v>
      </c>
      <c r="C111" s="605" t="s">
        <v>0</v>
      </c>
      <c r="E111" s="615">
        <v>1.5100925329827108E-2</v>
      </c>
      <c r="F111" s="615">
        <v>1.5337184917777464E-2</v>
      </c>
      <c r="G111" s="615">
        <v>1.5533563725943628E-2</v>
      </c>
      <c r="H111" s="615">
        <v>1.5931350249015166E-2</v>
      </c>
      <c r="I111" s="615">
        <v>1.6931570944260781E-2</v>
      </c>
      <c r="J111" s="615">
        <v>1.7320001101217352E-2</v>
      </c>
      <c r="K111" s="615">
        <v>1.7846030381006853E-2</v>
      </c>
      <c r="L111" s="615">
        <v>1.8411024792632617E-2</v>
      </c>
      <c r="M111" s="615">
        <v>1.9385153088539105E-2</v>
      </c>
      <c r="N111" s="615">
        <v>1.9696874143229182E-2</v>
      </c>
      <c r="O111" s="615">
        <v>2.0232644705977749E-2</v>
      </c>
      <c r="P111" s="615">
        <v>2.0797639117603513E-2</v>
      </c>
      <c r="Q111" s="615">
        <v>2.095349964494855E-2</v>
      </c>
      <c r="R111" s="615">
        <v>2.1469787641778992E-2</v>
      </c>
      <c r="S111" s="615">
        <v>2.1615906886164965E-2</v>
      </c>
      <c r="T111" s="787">
        <v>2.1800991262387198E-2</v>
      </c>
      <c r="U111" s="787">
        <v>2.2044523336363819E-2</v>
      </c>
      <c r="V111" s="787">
        <v>2.2151677448913533E-2</v>
      </c>
      <c r="W111" s="787">
        <v>2.3067358047065632E-2</v>
      </c>
      <c r="X111" s="787">
        <v>2.3622611175732326E-2</v>
      </c>
      <c r="Z111" s="611"/>
      <c r="AB111" s="604" t="s">
        <v>495</v>
      </c>
      <c r="AC111" s="605" t="s">
        <v>0</v>
      </c>
      <c r="AD111" s="615">
        <f t="shared" si="31"/>
        <v>2.3599999999999999E-2</v>
      </c>
      <c r="AF111" s="787">
        <v>2.4199999999999999E-2</v>
      </c>
    </row>
    <row r="112" spans="2:32">
      <c r="B112" s="604" t="s">
        <v>496</v>
      </c>
      <c r="C112" s="605" t="s">
        <v>0</v>
      </c>
      <c r="E112" s="615">
        <v>6.0403701319308428E-3</v>
      </c>
      <c r="F112" s="615">
        <v>6.1348739671109849E-3</v>
      </c>
      <c r="G112" s="615">
        <v>6.2134254903774512E-3</v>
      </c>
      <c r="H112" s="615">
        <v>6.3725400996060668E-3</v>
      </c>
      <c r="I112" s="615">
        <v>6.7726283777043124E-3</v>
      </c>
      <c r="J112" s="615">
        <v>6.9280004404869413E-3</v>
      </c>
      <c r="K112" s="615">
        <v>7.1384121524027417E-3</v>
      </c>
      <c r="L112" s="615">
        <v>7.3644099170530469E-3</v>
      </c>
      <c r="M112" s="615">
        <v>7.7540612354156423E-3</v>
      </c>
      <c r="N112" s="615">
        <v>7.8787496572916733E-3</v>
      </c>
      <c r="O112" s="615">
        <v>8.0930578823911001E-3</v>
      </c>
      <c r="P112" s="615">
        <v>8.3190556470414054E-3</v>
      </c>
      <c r="Q112" s="615">
        <v>8.3813998579794196E-3</v>
      </c>
      <c r="R112" s="615">
        <v>8.587915056711597E-3</v>
      </c>
      <c r="S112" s="615">
        <v>8.6463627544659857E-3</v>
      </c>
      <c r="T112" s="787">
        <v>8.72039650495488E-3</v>
      </c>
      <c r="U112" s="787">
        <v>8.8178093345455278E-3</v>
      </c>
      <c r="V112" s="787">
        <v>8.8606709795654142E-3</v>
      </c>
      <c r="W112" s="787">
        <v>9.2269432188262536E-3</v>
      </c>
      <c r="X112" s="787">
        <v>9.4490444702929315E-3</v>
      </c>
      <c r="Z112" s="611"/>
      <c r="AB112" s="604" t="s">
        <v>496</v>
      </c>
      <c r="AC112" s="605" t="s">
        <v>0</v>
      </c>
      <c r="AD112" s="615">
        <f t="shared" si="31"/>
        <v>9.4000000000000004E-3</v>
      </c>
      <c r="AF112" s="787">
        <v>9.7000000000000003E-3</v>
      </c>
    </row>
    <row r="113" spans="2:32">
      <c r="Z113" s="611"/>
      <c r="AC113" s="605"/>
    </row>
    <row r="114" spans="2:32">
      <c r="B114" s="608" t="s">
        <v>497</v>
      </c>
      <c r="Z114" s="611"/>
      <c r="AB114" s="608" t="s">
        <v>497</v>
      </c>
      <c r="AC114" s="605"/>
    </row>
    <row r="115" spans="2:32">
      <c r="Z115" s="611"/>
      <c r="AC115" s="605"/>
    </row>
    <row r="116" spans="2:32">
      <c r="B116" s="616" t="s">
        <v>498</v>
      </c>
      <c r="Z116" s="611"/>
      <c r="AB116" s="616" t="s">
        <v>498</v>
      </c>
      <c r="AC116" s="605"/>
    </row>
    <row r="117" spans="2:32">
      <c r="B117" s="624" t="s">
        <v>483</v>
      </c>
      <c r="C117" s="605" t="s">
        <v>113</v>
      </c>
      <c r="E117" s="612">
        <v>6952.2868018679646</v>
      </c>
      <c r="F117" s="612">
        <v>7314.6138375653636</v>
      </c>
      <c r="G117" s="612">
        <v>9357.7437319253786</v>
      </c>
      <c r="H117" s="612">
        <v>9837.2423669572927</v>
      </c>
      <c r="I117" s="612">
        <v>11366.151333996677</v>
      </c>
      <c r="J117" s="612">
        <v>11844.178204741118</v>
      </c>
      <c r="K117" s="612">
        <v>14405.44591612526</v>
      </c>
      <c r="L117" s="612">
        <v>14904.664850686988</v>
      </c>
      <c r="M117" s="612">
        <v>16411.73578101911</v>
      </c>
      <c r="N117" s="612">
        <v>16953.808634252437</v>
      </c>
      <c r="O117" s="612">
        <v>18084.962207903576</v>
      </c>
      <c r="P117" s="612">
        <v>18563.33585025699</v>
      </c>
      <c r="Q117" s="612">
        <v>19340.388104523892</v>
      </c>
      <c r="R117" s="612">
        <v>20968.928851640743</v>
      </c>
      <c r="S117" s="612">
        <v>20933.198187978473</v>
      </c>
      <c r="T117" s="612">
        <v>21728.517582869656</v>
      </c>
      <c r="U117" s="612">
        <v>22119.774731694295</v>
      </c>
      <c r="V117" s="612">
        <v>22856.548650746234</v>
      </c>
      <c r="W117" s="612">
        <v>23682.517706308172</v>
      </c>
      <c r="X117" s="612">
        <v>25797.044177461594</v>
      </c>
      <c r="Z117" s="611"/>
      <c r="AB117" s="624" t="s">
        <v>483</v>
      </c>
      <c r="AC117" s="605" t="s">
        <v>113</v>
      </c>
      <c r="AD117" s="612">
        <f t="shared" ref="AD117:AD120" si="32">ROUND(LOOKUP(MID($AD$3,1,4),$E$134:$Y$134,E117:Y117),2)</f>
        <v>25797.040000000001</v>
      </c>
      <c r="AF117" s="612">
        <v>26880.79</v>
      </c>
    </row>
    <row r="118" spans="2:32">
      <c r="B118" s="624" t="s">
        <v>484</v>
      </c>
      <c r="C118" s="605" t="s">
        <v>113</v>
      </c>
      <c r="E118" s="612">
        <v>7640.2563682333002</v>
      </c>
      <c r="F118" s="612">
        <v>8038.4377897946715</v>
      </c>
      <c r="G118" s="612">
        <v>10283.747373731539</v>
      </c>
      <c r="H118" s="612">
        <v>10810.69521179792</v>
      </c>
      <c r="I118" s="612">
        <v>12490.898690850754</v>
      </c>
      <c r="J118" s="612">
        <v>13016.229124918946</v>
      </c>
      <c r="K118" s="612">
        <v>15830.949302658913</v>
      </c>
      <c r="L118" s="612">
        <v>16379.568879587627</v>
      </c>
      <c r="M118" s="612">
        <v>18035.773320082739</v>
      </c>
      <c r="N118" s="612">
        <v>18631.487462348785</v>
      </c>
      <c r="O118" s="612">
        <v>19874.575318306615</v>
      </c>
      <c r="P118" s="612">
        <v>20400.286839068907</v>
      </c>
      <c r="Q118" s="612">
        <v>21254.232972665926</v>
      </c>
      <c r="R118" s="612">
        <v>23043.927380949521</v>
      </c>
      <c r="S118" s="612">
        <v>23004.660958495038</v>
      </c>
      <c r="T118" s="612">
        <v>23878.681873449837</v>
      </c>
      <c r="U118" s="612">
        <v>24308.656212558097</v>
      </c>
      <c r="V118" s="612">
        <v>25118.338233367755</v>
      </c>
      <c r="W118" s="612">
        <v>26026.041772730543</v>
      </c>
      <c r="X118" s="612">
        <v>28349.813043600308</v>
      </c>
      <c r="Z118" s="611"/>
      <c r="AB118" s="624" t="s">
        <v>484</v>
      </c>
      <c r="AC118" s="605" t="s">
        <v>113</v>
      </c>
      <c r="AD118" s="612">
        <f t="shared" si="32"/>
        <v>28349.81</v>
      </c>
      <c r="AF118" s="612">
        <v>29540.799999999999</v>
      </c>
    </row>
    <row r="119" spans="2:32">
      <c r="B119" s="624" t="s">
        <v>485</v>
      </c>
      <c r="C119" s="605" t="s">
        <v>113</v>
      </c>
      <c r="E119" s="612">
        <v>4146.2958893377117</v>
      </c>
      <c r="F119" s="612">
        <v>4362.3852339695231</v>
      </c>
      <c r="G119" s="612">
        <v>5580.8938087440547</v>
      </c>
      <c r="H119" s="612">
        <v>5866.8634869284597</v>
      </c>
      <c r="I119" s="612">
        <v>6778.6942479240643</v>
      </c>
      <c r="J119" s="612">
        <v>7063.7861760401638</v>
      </c>
      <c r="K119" s="612">
        <v>8591.3085705927188</v>
      </c>
      <c r="L119" s="612">
        <v>8889.0392993792084</v>
      </c>
      <c r="M119" s="612">
        <v>9787.8460059289882</v>
      </c>
      <c r="N119" s="612">
        <v>10111.134516189959</v>
      </c>
      <c r="O119" s="612">
        <v>10785.746704424084</v>
      </c>
      <c r="P119" s="612">
        <v>11071.045444735622</v>
      </c>
      <c r="Q119" s="612">
        <v>11534.474048803249</v>
      </c>
      <c r="R119" s="612">
        <v>12505.724516142327</v>
      </c>
      <c r="S119" s="612">
        <v>12484.414994816714</v>
      </c>
      <c r="T119" s="612">
        <v>12958.737995539563</v>
      </c>
      <c r="U119" s="612">
        <v>13192.081060070463</v>
      </c>
      <c r="V119" s="612">
        <v>13631.487942869873</v>
      </c>
      <c r="W119" s="612">
        <v>14124.090189784723</v>
      </c>
      <c r="X119" s="612">
        <v>15385.179190440384</v>
      </c>
      <c r="Z119" s="611"/>
      <c r="AB119" s="624" t="s">
        <v>485</v>
      </c>
      <c r="AC119" s="605" t="s">
        <v>113</v>
      </c>
      <c r="AD119" s="612">
        <f t="shared" si="32"/>
        <v>15385.18</v>
      </c>
      <c r="AF119" s="612">
        <v>16031.52</v>
      </c>
    </row>
    <row r="120" spans="2:32">
      <c r="B120" s="624" t="s">
        <v>486</v>
      </c>
      <c r="C120" s="605" t="s">
        <v>113</v>
      </c>
      <c r="E120" s="612">
        <v>4276.1723960994314</v>
      </c>
      <c r="F120" s="612">
        <v>4499.0304157072324</v>
      </c>
      <c r="G120" s="612">
        <v>5755.7069460195917</v>
      </c>
      <c r="H120" s="612">
        <v>6050.6341959339525</v>
      </c>
      <c r="I120" s="612">
        <v>6991.0266894148153</v>
      </c>
      <c r="J120" s="612">
        <v>7285.0486950550239</v>
      </c>
      <c r="K120" s="612">
        <v>8860.4184400860977</v>
      </c>
      <c r="L120" s="612">
        <v>9167.475137892272</v>
      </c>
      <c r="M120" s="612">
        <v>10094.435617934405</v>
      </c>
      <c r="N120" s="612">
        <v>10427.850656429135</v>
      </c>
      <c r="O120" s="612">
        <v>11123.594060757132</v>
      </c>
      <c r="P120" s="612">
        <v>11417.829356674956</v>
      </c>
      <c r="Q120" s="612">
        <v>11895.774167457241</v>
      </c>
      <c r="R120" s="612">
        <v>12897.447600560306</v>
      </c>
      <c r="S120" s="612">
        <v>12875.47059040505</v>
      </c>
      <c r="T120" s="612">
        <v>13364.651048495818</v>
      </c>
      <c r="U120" s="612">
        <v>13605.303234929059</v>
      </c>
      <c r="V120" s="612">
        <v>14058.473880013693</v>
      </c>
      <c r="W120" s="612">
        <v>14566.5061542975</v>
      </c>
      <c r="X120" s="612">
        <v>15867.09687853781</v>
      </c>
      <c r="Z120" s="611"/>
      <c r="AB120" s="624" t="s">
        <v>486</v>
      </c>
      <c r="AC120" s="605" t="s">
        <v>113</v>
      </c>
      <c r="AD120" s="612">
        <f t="shared" si="32"/>
        <v>15867.1</v>
      </c>
      <c r="AF120" s="612">
        <v>16533.68</v>
      </c>
    </row>
    <row r="121" spans="2:32">
      <c r="Z121" s="611"/>
      <c r="AC121" s="605"/>
    </row>
    <row r="122" spans="2:32">
      <c r="B122" s="616" t="s">
        <v>499</v>
      </c>
      <c r="Z122" s="611"/>
      <c r="AB122" s="616" t="s">
        <v>499</v>
      </c>
      <c r="AC122" s="605"/>
    </row>
    <row r="123" spans="2:32">
      <c r="B123" s="624" t="s">
        <v>483</v>
      </c>
      <c r="C123" s="605" t="s">
        <v>113</v>
      </c>
      <c r="E123" s="612">
        <v>0</v>
      </c>
      <c r="F123" s="612">
        <v>0</v>
      </c>
      <c r="G123" s="612">
        <v>0</v>
      </c>
      <c r="H123" s="612">
        <v>0</v>
      </c>
      <c r="I123" s="612">
        <v>0</v>
      </c>
      <c r="J123" s="612">
        <v>0</v>
      </c>
      <c r="K123" s="612">
        <v>0</v>
      </c>
      <c r="L123" s="612">
        <v>0</v>
      </c>
      <c r="M123" s="612">
        <v>0</v>
      </c>
      <c r="N123" s="612">
        <v>0</v>
      </c>
      <c r="O123" s="612">
        <v>0</v>
      </c>
      <c r="P123" s="612">
        <v>0</v>
      </c>
      <c r="Q123" s="612">
        <v>0</v>
      </c>
      <c r="R123" s="612">
        <v>0</v>
      </c>
      <c r="S123" s="612">
        <v>0</v>
      </c>
      <c r="T123" s="612">
        <v>0</v>
      </c>
      <c r="U123" s="612">
        <v>0</v>
      </c>
      <c r="V123" s="612">
        <v>0</v>
      </c>
      <c r="W123" s="612">
        <v>0</v>
      </c>
      <c r="X123" s="612">
        <v>0</v>
      </c>
      <c r="Z123" s="611"/>
      <c r="AB123" s="624" t="s">
        <v>483</v>
      </c>
      <c r="AC123" s="605" t="s">
        <v>113</v>
      </c>
      <c r="AD123" s="612">
        <f t="shared" ref="AD123:AD126" si="33">ROUND(LOOKUP(MID($AD$3,1,4),$E$134:$Y$134,E123:Y123),2)</f>
        <v>0</v>
      </c>
      <c r="AF123" s="612">
        <v>0</v>
      </c>
    </row>
    <row r="124" spans="2:32">
      <c r="B124" s="624" t="s">
        <v>484</v>
      </c>
      <c r="C124" s="605" t="s">
        <v>113</v>
      </c>
      <c r="E124" s="612">
        <v>5014.2941435212551</v>
      </c>
      <c r="F124" s="612">
        <v>5655.3127970936057</v>
      </c>
      <c r="G124" s="612">
        <v>7042.0572657111725</v>
      </c>
      <c r="H124" s="612">
        <v>8427.9201470924017</v>
      </c>
      <c r="I124" s="612">
        <v>8877.4589978157037</v>
      </c>
      <c r="J124" s="612">
        <v>8837.2220035055143</v>
      </c>
      <c r="K124" s="612">
        <v>9859.2857888360959</v>
      </c>
      <c r="L124" s="612">
        <v>10203.793605905157</v>
      </c>
      <c r="M124" s="612">
        <v>10840.691370407736</v>
      </c>
      <c r="N124" s="612">
        <v>10029.928642570156</v>
      </c>
      <c r="O124" s="612">
        <v>9755.1697038458824</v>
      </c>
      <c r="P124" s="612">
        <v>10048.046740620273</v>
      </c>
      <c r="Q124" s="612">
        <v>9938.510275928802</v>
      </c>
      <c r="R124" s="612">
        <v>10694.138988924964</v>
      </c>
      <c r="S124" s="612">
        <v>9579.2555663014118</v>
      </c>
      <c r="T124" s="612">
        <v>9229.2848261178042</v>
      </c>
      <c r="U124" s="612">
        <v>9045.3649696817829</v>
      </c>
      <c r="V124" s="612">
        <v>10103.574895117663</v>
      </c>
      <c r="W124" s="612">
        <v>10261.584669355636</v>
      </c>
      <c r="X124" s="612">
        <v>9312.7499013541274</v>
      </c>
      <c r="Z124" s="611"/>
      <c r="AB124" s="624" t="s">
        <v>484</v>
      </c>
      <c r="AC124" s="605" t="s">
        <v>113</v>
      </c>
      <c r="AD124" s="612">
        <f t="shared" si="33"/>
        <v>9312.75</v>
      </c>
      <c r="AF124" s="612">
        <v>9226.6299999999992</v>
      </c>
    </row>
    <row r="125" spans="2:32">
      <c r="B125" s="624" t="s">
        <v>485</v>
      </c>
      <c r="C125" s="605" t="s">
        <v>113</v>
      </c>
      <c r="E125" s="612">
        <v>3828.9169576526665</v>
      </c>
      <c r="F125" s="612">
        <v>4318.39905076164</v>
      </c>
      <c r="G125" s="612">
        <v>5377.3176661925472</v>
      </c>
      <c r="H125" s="612">
        <v>6435.5631012670083</v>
      </c>
      <c r="I125" s="612">
        <v>6778.8311424691947</v>
      </c>
      <c r="J125" s="612">
        <v>6748.1061579689704</v>
      </c>
      <c r="K125" s="612">
        <v>7528.5544618466483</v>
      </c>
      <c r="L125" s="612">
        <v>7791.6207649122498</v>
      </c>
      <c r="M125" s="612">
        <v>8277.9561455252606</v>
      </c>
      <c r="N125" s="612">
        <v>7658.8574113073992</v>
      </c>
      <c r="O125" s="612">
        <v>7449.0513788656654</v>
      </c>
      <c r="P125" s="612">
        <v>7672.6923980231559</v>
      </c>
      <c r="Q125" s="612">
        <v>7589.0503109947367</v>
      </c>
      <c r="R125" s="612">
        <v>8166.0486900424612</v>
      </c>
      <c r="S125" s="612">
        <v>7314.7232750377034</v>
      </c>
      <c r="T125" s="612">
        <v>7047.4854817577398</v>
      </c>
      <c r="U125" s="612">
        <v>6907.0442078714023</v>
      </c>
      <c r="V125" s="612">
        <v>7715.0937183878432</v>
      </c>
      <c r="W125" s="612">
        <v>7835.7500434333824</v>
      </c>
      <c r="X125" s="612">
        <v>7111.2194456611205</v>
      </c>
      <c r="Z125" s="611"/>
      <c r="AB125" s="624" t="s">
        <v>485</v>
      </c>
      <c r="AC125" s="605" t="s">
        <v>113</v>
      </c>
      <c r="AD125" s="612">
        <f t="shared" si="33"/>
        <v>7111.22</v>
      </c>
      <c r="AF125" s="612">
        <v>7045.46</v>
      </c>
    </row>
    <row r="126" spans="2:32">
      <c r="B126" s="624" t="s">
        <v>486</v>
      </c>
      <c r="C126" s="605" t="s">
        <v>113</v>
      </c>
      <c r="E126" s="612">
        <v>2533.70910327514</v>
      </c>
      <c r="F126" s="612">
        <v>2857.6140740323772</v>
      </c>
      <c r="G126" s="612">
        <v>3558.3322575861976</v>
      </c>
      <c r="H126" s="612">
        <v>4258.6049775229858</v>
      </c>
      <c r="I126" s="612">
        <v>4485.7557281077161</v>
      </c>
      <c r="J126" s="612">
        <v>4465.4240850380966</v>
      </c>
      <c r="K126" s="612">
        <v>4981.8701176997156</v>
      </c>
      <c r="L126" s="612">
        <v>5155.9489745185047</v>
      </c>
      <c r="M126" s="612">
        <v>5477.77167131039</v>
      </c>
      <c r="N126" s="612">
        <v>5068.0954845289571</v>
      </c>
      <c r="O126" s="612">
        <v>4929.2605449888861</v>
      </c>
      <c r="P126" s="612">
        <v>5077.2505098724405</v>
      </c>
      <c r="Q126" s="612">
        <v>5021.9020341377363</v>
      </c>
      <c r="R126" s="612">
        <v>5403.7191541581378</v>
      </c>
      <c r="S126" s="612">
        <v>4840.3716128812421</v>
      </c>
      <c r="T126" s="612">
        <v>4663.5323559683147</v>
      </c>
      <c r="U126" s="612">
        <v>4570.5981560217278</v>
      </c>
      <c r="V126" s="612">
        <v>5105.3087343226143</v>
      </c>
      <c r="W126" s="612">
        <v>5185.1506406675935</v>
      </c>
      <c r="X126" s="612">
        <v>4705.7070299860043</v>
      </c>
      <c r="Z126" s="611"/>
      <c r="AB126" s="624" t="s">
        <v>486</v>
      </c>
      <c r="AC126" s="605" t="s">
        <v>113</v>
      </c>
      <c r="AD126" s="612">
        <f t="shared" si="33"/>
        <v>4705.71</v>
      </c>
      <c r="AF126" s="612">
        <v>4662.1899999999996</v>
      </c>
    </row>
    <row r="127" spans="2:32">
      <c r="Z127" s="611"/>
      <c r="AC127" s="605"/>
    </row>
    <row r="128" spans="2:32">
      <c r="B128" s="616" t="s">
        <v>500</v>
      </c>
      <c r="Z128" s="611"/>
      <c r="AB128" s="616" t="s">
        <v>500</v>
      </c>
      <c r="AC128" s="605"/>
    </row>
    <row r="129" spans="2:32">
      <c r="B129" s="624" t="s">
        <v>483</v>
      </c>
      <c r="C129" s="605" t="s">
        <v>113</v>
      </c>
      <c r="E129" s="612">
        <v>4394.9461932846352</v>
      </c>
      <c r="F129" s="612">
        <v>4910.7858879211399</v>
      </c>
      <c r="G129" s="612">
        <v>6903.2569897996627</v>
      </c>
      <c r="H129" s="612">
        <v>7855.7458225873597</v>
      </c>
      <c r="I129" s="612">
        <v>9548.1034824923427</v>
      </c>
      <c r="J129" s="612">
        <v>9828.121535569142</v>
      </c>
      <c r="K129" s="612">
        <v>15735.038738958623</v>
      </c>
      <c r="L129" s="612">
        <v>16386.244906576852</v>
      </c>
      <c r="M129" s="612">
        <v>18212.231588768853</v>
      </c>
      <c r="N129" s="612">
        <v>15012.492153044195</v>
      </c>
      <c r="O129" s="612">
        <v>16075.693540610378</v>
      </c>
      <c r="P129" s="612">
        <v>18407.515191647155</v>
      </c>
      <c r="Q129" s="612">
        <v>19351.521602443507</v>
      </c>
      <c r="R129" s="612">
        <v>21746.217123442257</v>
      </c>
      <c r="S129" s="612">
        <v>23162.393288580035</v>
      </c>
      <c r="T129" s="612">
        <v>23155.80057055522</v>
      </c>
      <c r="U129" s="612">
        <v>23203.549012102798</v>
      </c>
      <c r="V129" s="612">
        <v>21696.644278132357</v>
      </c>
      <c r="W129" s="612">
        <v>22159.310264548076</v>
      </c>
      <c r="X129" s="612">
        <v>24731.568547966592</v>
      </c>
      <c r="Z129" s="611"/>
      <c r="AB129" s="624" t="s">
        <v>483</v>
      </c>
      <c r="AC129" s="605" t="s">
        <v>113</v>
      </c>
      <c r="AD129" s="612">
        <f t="shared" ref="AD129:AD132" si="34">ROUND(LOOKUP(MID($AD$3,1,4),$E$134:$Y$134,E129:Y129),2)</f>
        <v>24731.57</v>
      </c>
      <c r="AF129" s="612">
        <v>25613.63</v>
      </c>
    </row>
    <row r="130" spans="2:32">
      <c r="B130" s="624" t="s">
        <v>484</v>
      </c>
      <c r="C130" s="605" t="s">
        <v>113</v>
      </c>
      <c r="E130" s="612">
        <v>3752.5927395541171</v>
      </c>
      <c r="F130" s="612">
        <v>4193.0386990119405</v>
      </c>
      <c r="G130" s="612">
        <v>5894.2956113503205</v>
      </c>
      <c r="H130" s="612">
        <v>6707.5712514223032</v>
      </c>
      <c r="I130" s="612">
        <v>8152.5784910995453</v>
      </c>
      <c r="J130" s="612">
        <v>8391.669862576553</v>
      </c>
      <c r="K130" s="612">
        <v>13435.248017061389</v>
      </c>
      <c r="L130" s="612">
        <v>13991.275651777591</v>
      </c>
      <c r="M130" s="612">
        <v>15550.381057114788</v>
      </c>
      <c r="N130" s="612">
        <v>12818.306886716022</v>
      </c>
      <c r="O130" s="612">
        <v>13726.11363387506</v>
      </c>
      <c r="P130" s="612">
        <v>15717.122536551968</v>
      </c>
      <c r="Q130" s="612">
        <v>16523.155522498357</v>
      </c>
      <c r="R130" s="612">
        <v>18567.848820285148</v>
      </c>
      <c r="S130" s="612">
        <v>19777.040505804707</v>
      </c>
      <c r="T130" s="612">
        <v>19771.411361622773</v>
      </c>
      <c r="U130" s="612">
        <v>19812.181020043219</v>
      </c>
      <c r="V130" s="612">
        <v>18525.521408023942</v>
      </c>
      <c r="W130" s="612">
        <v>18920.565384697678</v>
      </c>
      <c r="X130" s="612">
        <v>21116.869351595666</v>
      </c>
      <c r="Z130" s="611"/>
      <c r="AB130" s="624" t="s">
        <v>484</v>
      </c>
      <c r="AC130" s="605" t="s">
        <v>113</v>
      </c>
      <c r="AD130" s="612">
        <f t="shared" si="34"/>
        <v>21116.87</v>
      </c>
      <c r="AF130" s="612">
        <v>21870.01</v>
      </c>
    </row>
    <row r="131" spans="2:32">
      <c r="B131" s="624" t="s">
        <v>485</v>
      </c>
      <c r="C131" s="605" t="s">
        <v>113</v>
      </c>
      <c r="E131" s="612">
        <v>3546.6947317178592</v>
      </c>
      <c r="F131" s="612">
        <v>3962.974214313962</v>
      </c>
      <c r="G131" s="612">
        <v>5570.8862226407873</v>
      </c>
      <c r="H131" s="612">
        <v>6339.5388924800682</v>
      </c>
      <c r="I131" s="612">
        <v>7705.2611863590446</v>
      </c>
      <c r="J131" s="612">
        <v>7931.2340447186916</v>
      </c>
      <c r="K131" s="612">
        <v>12698.080145807749</v>
      </c>
      <c r="L131" s="612">
        <v>13223.599545222196</v>
      </c>
      <c r="M131" s="612">
        <v>14697.159643822</v>
      </c>
      <c r="N131" s="612">
        <v>12114.989464606899</v>
      </c>
      <c r="O131" s="612">
        <v>12972.986489871477</v>
      </c>
      <c r="P131" s="612">
        <v>14854.752318466719</v>
      </c>
      <c r="Q131" s="612">
        <v>15616.559725573345</v>
      </c>
      <c r="R131" s="612">
        <v>17549.064383166671</v>
      </c>
      <c r="S131" s="612">
        <v>18691.909897806458</v>
      </c>
      <c r="T131" s="612">
        <v>18686.589614631652</v>
      </c>
      <c r="U131" s="612">
        <v>18725.122315292079</v>
      </c>
      <c r="V131" s="612">
        <v>17509.059399814305</v>
      </c>
      <c r="W131" s="612">
        <v>17882.428024684614</v>
      </c>
      <c r="X131" s="612">
        <v>19958.224746919303</v>
      </c>
      <c r="Z131" s="611"/>
      <c r="AB131" s="624" t="s">
        <v>485</v>
      </c>
      <c r="AC131" s="605" t="s">
        <v>113</v>
      </c>
      <c r="AD131" s="612">
        <f t="shared" si="34"/>
        <v>19958.22</v>
      </c>
      <c r="AF131" s="612">
        <v>20670.04</v>
      </c>
    </row>
    <row r="132" spans="2:32">
      <c r="B132" s="624" t="s">
        <v>486</v>
      </c>
      <c r="C132" s="605" t="s">
        <v>113</v>
      </c>
      <c r="E132" s="612">
        <v>1815.0949242769061</v>
      </c>
      <c r="F132" s="612">
        <v>2028.1346226709177</v>
      </c>
      <c r="G132" s="612">
        <v>2851.0170937496482</v>
      </c>
      <c r="H132" s="612">
        <v>3244.3911124043098</v>
      </c>
      <c r="I132" s="612">
        <v>3943.3279510960538</v>
      </c>
      <c r="J132" s="612">
        <v>4058.9742695020013</v>
      </c>
      <c r="K132" s="612">
        <v>6498.5070788862295</v>
      </c>
      <c r="L132" s="612">
        <v>6767.4525807237114</v>
      </c>
      <c r="M132" s="612">
        <v>7521.5776627800415</v>
      </c>
      <c r="N132" s="612">
        <v>6200.0982740979471</v>
      </c>
      <c r="O132" s="612">
        <v>6639.1961281295271</v>
      </c>
      <c r="P132" s="612">
        <v>7602.2289974699897</v>
      </c>
      <c r="Q132" s="612">
        <v>7992.0998103002903</v>
      </c>
      <c r="R132" s="612">
        <v>8981.0993325231029</v>
      </c>
      <c r="S132" s="612">
        <v>9565.9743358055457</v>
      </c>
      <c r="T132" s="612">
        <v>9563.2515700428357</v>
      </c>
      <c r="U132" s="612">
        <v>9582.971482433928</v>
      </c>
      <c r="V132" s="612">
        <v>8960.6259487894276</v>
      </c>
      <c r="W132" s="612">
        <v>9151.7051216953223</v>
      </c>
      <c r="X132" s="612">
        <v>10214.037343485916</v>
      </c>
      <c r="Z132" s="611"/>
      <c r="AB132" s="624" t="s">
        <v>486</v>
      </c>
      <c r="AC132" s="605" t="s">
        <v>113</v>
      </c>
      <c r="AD132" s="612">
        <f t="shared" si="34"/>
        <v>10214.040000000001</v>
      </c>
      <c r="AF132" s="612">
        <v>10578.33</v>
      </c>
    </row>
    <row r="133" spans="2:32" ht="12.75" thickBot="1">
      <c r="Z133" s="611"/>
    </row>
    <row r="134" spans="2:32" ht="15.95" customHeight="1" thickTop="1" thickBot="1">
      <c r="B134" s="608"/>
      <c r="C134" s="609"/>
      <c r="E134" s="609" t="str">
        <f>MID(E5,1,4)</f>
        <v>2006</v>
      </c>
      <c r="F134" s="609" t="str">
        <f t="shared" ref="F134:X134" si="35">MID(F5,1,4)</f>
        <v>2007</v>
      </c>
      <c r="G134" s="609" t="str">
        <f t="shared" si="35"/>
        <v>2008</v>
      </c>
      <c r="H134" s="609" t="str">
        <f t="shared" si="35"/>
        <v>2009</v>
      </c>
      <c r="I134" s="609" t="str">
        <f t="shared" si="35"/>
        <v>2010</v>
      </c>
      <c r="J134" s="609" t="str">
        <f t="shared" si="35"/>
        <v>2011</v>
      </c>
      <c r="K134" s="609" t="str">
        <f t="shared" si="35"/>
        <v>2012</v>
      </c>
      <c r="L134" s="609" t="str">
        <f t="shared" si="35"/>
        <v>2013</v>
      </c>
      <c r="M134" s="609" t="str">
        <f t="shared" si="35"/>
        <v>2014</v>
      </c>
      <c r="N134" s="609" t="str">
        <f t="shared" si="35"/>
        <v>2015</v>
      </c>
      <c r="O134" s="609" t="str">
        <f t="shared" si="35"/>
        <v>2016</v>
      </c>
      <c r="P134" s="609" t="str">
        <f t="shared" si="35"/>
        <v>2017</v>
      </c>
      <c r="Q134" s="609" t="str">
        <f t="shared" si="35"/>
        <v>2018</v>
      </c>
      <c r="R134" s="609" t="str">
        <f t="shared" si="35"/>
        <v>2019</v>
      </c>
      <c r="S134" s="609" t="str">
        <f t="shared" si="35"/>
        <v>2020</v>
      </c>
      <c r="T134" s="609" t="str">
        <f t="shared" si="35"/>
        <v>2021</v>
      </c>
      <c r="U134" s="609" t="str">
        <f t="shared" si="35"/>
        <v>2022</v>
      </c>
      <c r="V134" s="609" t="str">
        <f t="shared" si="35"/>
        <v>2023</v>
      </c>
      <c r="W134" s="609" t="str">
        <f t="shared" si="35"/>
        <v>2024</v>
      </c>
      <c r="X134" s="609" t="str">
        <f t="shared" si="35"/>
        <v>2025</v>
      </c>
      <c r="Z134" s="627"/>
      <c r="AB134" s="608"/>
      <c r="AC134" s="608"/>
      <c r="AD134" s="609"/>
      <c r="AF134" s="609"/>
    </row>
    <row r="135" spans="2:32" ht="12.75" thickTop="1"/>
    <row r="137" spans="2:32">
      <c r="C137" s="605">
        <v>0.57099999999999995</v>
      </c>
      <c r="E137" s="612"/>
      <c r="F137" s="612"/>
      <c r="G137" s="612"/>
      <c r="H137" s="612"/>
      <c r="I137" s="612"/>
      <c r="J137" s="612"/>
      <c r="K137" s="612"/>
      <c r="L137" s="612"/>
      <c r="M137" s="612"/>
      <c r="N137" s="612"/>
      <c r="O137" s="612"/>
      <c r="P137" s="612"/>
      <c r="Q137" s="612"/>
      <c r="R137" s="612"/>
      <c r="S137" s="612"/>
      <c r="T137" s="612"/>
      <c r="U137" s="612"/>
      <c r="V137" s="612"/>
      <c r="W137" s="612"/>
      <c r="X137" s="612"/>
    </row>
    <row r="138" spans="2:32">
      <c r="C138" s="605">
        <v>1.429</v>
      </c>
      <c r="E138" s="612"/>
      <c r="F138" s="612"/>
      <c r="G138" s="612"/>
      <c r="H138" s="612"/>
      <c r="I138" s="612"/>
      <c r="J138" s="612"/>
      <c r="K138" s="612"/>
      <c r="L138" s="612"/>
      <c r="M138" s="612"/>
      <c r="N138" s="612"/>
      <c r="O138" s="612"/>
      <c r="P138" s="612"/>
      <c r="Q138" s="612"/>
      <c r="R138" s="612"/>
      <c r="S138" s="612"/>
      <c r="T138" s="612"/>
      <c r="U138" s="612"/>
      <c r="V138" s="612"/>
      <c r="W138" s="612"/>
      <c r="X138" s="612"/>
    </row>
    <row r="139" spans="2:32">
      <c r="E139" s="612"/>
      <c r="F139" s="612"/>
      <c r="G139" s="612"/>
      <c r="H139" s="612"/>
      <c r="I139" s="612"/>
      <c r="J139" s="612"/>
      <c r="K139" s="612"/>
      <c r="L139" s="612"/>
      <c r="M139" s="612"/>
      <c r="N139" s="612"/>
      <c r="O139" s="612"/>
      <c r="P139" s="612"/>
      <c r="Q139" s="612"/>
      <c r="R139" s="612"/>
      <c r="S139" s="612"/>
      <c r="T139" s="612"/>
      <c r="U139" s="612"/>
      <c r="V139" s="612"/>
      <c r="W139" s="612"/>
      <c r="X139" s="612"/>
    </row>
  </sheetData>
  <sheetProtection algorithmName="SHA-512" hashValue="OpxsEiRduZSLueQhsoslYs8FouzLJ9IfNQ0w+RWoFRvnSAd0VmaRC119K5Gx3Pej1DVnjQHB1+qJGHzyhzG2bA==" saltValue="h/u8qlmyWFEd+oizKuSVSw==" spinCount="100000" sheet="1" objects="1" scenarios="1"/>
  <conditionalFormatting sqref="AB1">
    <cfRule type="cellIs" dxfId="35" priority="3" operator="equal">
      <formula>"SIMULANDO"</formula>
    </cfRule>
  </conditionalFormatting>
  <conditionalFormatting sqref="AF3">
    <cfRule type="cellIs" dxfId="34" priority="2" operator="equal">
      <formula>"estándar"</formula>
    </cfRule>
  </conditionalFormatting>
  <conditionalFormatting sqref="AF5">
    <cfRule type="cellIs" dxfId="33" priority="1" operator="equal">
      <formula>"estándar"</formula>
    </cfRule>
  </conditionalFormatting>
  <dataValidations count="5">
    <dataValidation type="decimal" operator="greaterThanOrEqual" allowBlank="1" showInputMessage="1" showErrorMessage="1" error="Debe digitar un número, permite incluir decimales." sqref="AF74 AF7 AI33:AI34 AF39:AF41 AF43:AF48 AF32:AF34" xr:uid="{86654AF8-DA06-46CF-A8B8-EED30EEA78E3}">
      <formula1>0</formula1>
    </dataValidation>
    <dataValidation allowBlank="1" showInputMessage="1" showErrorMessage="1" error="Debe digitar un número entre cero (0) y setecientos (700), acepta decimales." sqref="AF36:AF37" xr:uid="{64EB0516-B70C-44FD-B502-7CF72E93815E}"/>
    <dataValidation type="whole" allowBlank="1" showInputMessage="1" showErrorMessage="1" error="Debe digitar el año comienzo de la cosecha, por ejemplo 2006 para la cosecha 2006-2007._x000a__x000a_Solo acepta datos entre 2006 y 2024" sqref="AD3" xr:uid="{6B2B0C4F-2AE2-4F70-A15D-FF27700D6E5B}">
      <formula1>2006</formula1>
      <formula2>2025</formula2>
    </dataValidation>
    <dataValidation type="whole" allowBlank="1" showInputMessage="1" showErrorMessage="1" error="Puede digitar:_x000a_1.- Precios Estándar_x000a_2.- Precios Personalizados" sqref="Z1" xr:uid="{F1572F03-7480-4B75-BE4B-8ACC980B0D02}">
      <formula1>1</formula1>
      <formula2>2</formula2>
    </dataValidation>
    <dataValidation type="decimal" operator="greaterThanOrEqual" allowBlank="1" showInputMessage="1" showErrorMessage="1" error="Debe digitar un porcentaje." sqref="AF8" xr:uid="{7FABF452-AE4D-46A8-9460-8BF15517260D}">
      <formula1>0</formula1>
    </dataValidation>
  </dataValidations>
  <hyperlinks>
    <hyperlink ref="AH7" r:id="rId1" xr:uid="{99AAA5DE-D224-4F01-B743-2501AD717B99}"/>
    <hyperlink ref="AH8" r:id="rId2" xr:uid="{ECC23D4D-D478-4D48-BE8C-0A5A515B261D}"/>
  </hyperlinks>
  <pageMargins left="0.7" right="0.7" top="0.75" bottom="0.75" header="0.3" footer="0.3"/>
  <pageSetup paperSize="9" orientation="portrait" r:id="rId3"/>
  <ignoredErrors>
    <ignoredError sqref="X23 E23:V23" formulaRange="1"/>
  </ignoredErrors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5F11-43CB-4528-8C1E-E7BDF8F0949C}">
  <sheetPr>
    <tabColor theme="0"/>
  </sheetPr>
  <dimension ref="A1:U28"/>
  <sheetViews>
    <sheetView showGridLines="0" zoomScale="110" zoomScaleNormal="110" workbookViewId="0">
      <pane ySplit="2" topLeftCell="A3" activePane="bottomLeft" state="frozen"/>
      <selection pane="bottomLeft" activeCell="K9" sqref="K9"/>
    </sheetView>
  </sheetViews>
  <sheetFormatPr baseColWidth="10" defaultColWidth="10.7109375" defaultRowHeight="20.100000000000001" customHeight="1"/>
  <cols>
    <col min="1" max="1" width="2.140625" style="261" customWidth="1"/>
    <col min="2" max="2" width="16.7109375" style="261" customWidth="1"/>
    <col min="3" max="3" width="10.7109375" style="261"/>
    <col min="4" max="4" width="14" style="261" customWidth="1"/>
    <col min="5" max="6" width="3.140625" style="261" customWidth="1"/>
    <col min="7" max="7" width="6.5703125" style="261" customWidth="1"/>
    <col min="8" max="8" width="22.5703125" style="261" customWidth="1"/>
    <col min="9" max="10" width="3.140625" style="261" customWidth="1"/>
    <col min="11" max="11" width="7" style="261" customWidth="1"/>
    <col min="12" max="12" width="22.7109375" style="261" customWidth="1"/>
    <col min="13" max="13" width="13.5703125" style="261" bestFit="1" customWidth="1"/>
    <col min="14" max="15" width="15" style="261" bestFit="1" customWidth="1"/>
    <col min="16" max="16" width="11.42578125" style="261" bestFit="1" customWidth="1"/>
    <col min="17" max="17" width="13.42578125" style="261" customWidth="1"/>
    <col min="18" max="18" width="3.140625" style="261" customWidth="1"/>
    <col min="19" max="19" width="2.85546875" style="261" bestFit="1" customWidth="1"/>
    <col min="20" max="20" width="6" style="261" bestFit="1" customWidth="1"/>
    <col min="21" max="16384" width="10.7109375" style="261"/>
  </cols>
  <sheetData>
    <row r="1" spans="1:21" ht="20.100000000000001" customHeight="1" thickBot="1">
      <c r="A1" s="317"/>
      <c r="B1" s="318"/>
      <c r="C1" s="318"/>
      <c r="D1" s="318"/>
      <c r="E1" s="319"/>
      <c r="F1" s="317"/>
      <c r="G1" s="318"/>
      <c r="H1" s="318"/>
      <c r="I1" s="319"/>
      <c r="J1" s="317"/>
      <c r="K1" s="318"/>
      <c r="L1" s="318"/>
      <c r="M1" s="318"/>
      <c r="N1" s="318"/>
      <c r="O1" s="318"/>
      <c r="P1" s="318"/>
      <c r="Q1" s="318"/>
      <c r="R1" s="319"/>
    </row>
    <row r="2" spans="1:21" ht="20.100000000000001" customHeight="1" thickBot="1">
      <c r="A2" s="320"/>
      <c r="B2" s="269" t="s">
        <v>306</v>
      </c>
      <c r="C2" s="270"/>
      <c r="D2" s="271"/>
      <c r="E2" s="321"/>
      <c r="F2" s="320"/>
      <c r="G2" s="269" t="s">
        <v>312</v>
      </c>
      <c r="H2" s="271"/>
      <c r="I2" s="321"/>
      <c r="J2" s="320"/>
      <c r="K2" s="269" t="s">
        <v>305</v>
      </c>
      <c r="L2" s="267"/>
      <c r="M2" s="267"/>
      <c r="N2" s="267"/>
      <c r="O2" s="267"/>
      <c r="P2" s="267"/>
      <c r="Q2" s="268"/>
      <c r="R2" s="321"/>
    </row>
    <row r="3" spans="1:21" ht="20.100000000000001" customHeight="1" thickBot="1">
      <c r="A3" s="320"/>
      <c r="E3" s="321"/>
      <c r="F3" s="320"/>
      <c r="I3" s="321"/>
      <c r="J3" s="320"/>
      <c r="R3" s="321"/>
      <c r="T3" s="749" t="s">
        <v>283</v>
      </c>
    </row>
    <row r="4" spans="1:21" ht="20.100000000000001" customHeight="1" thickBot="1">
      <c r="A4" s="320"/>
      <c r="B4" s="322" t="s">
        <v>307</v>
      </c>
      <c r="E4" s="321"/>
      <c r="F4" s="320"/>
      <c r="G4" s="738">
        <v>1</v>
      </c>
      <c r="H4" s="326" t="str">
        <f>IF(G4=1," Si tiene sombra"," No tiene sombra")</f>
        <v xml:space="preserve"> Si tiene sombra</v>
      </c>
      <c r="I4" s="321"/>
      <c r="J4" s="320"/>
      <c r="L4" s="755" t="s">
        <v>298</v>
      </c>
      <c r="M4" s="739">
        <v>40</v>
      </c>
      <c r="Q4" s="764" t="s">
        <v>304</v>
      </c>
      <c r="R4" s="321"/>
      <c r="T4" s="749" t="s">
        <v>285</v>
      </c>
    </row>
    <row r="5" spans="1:21" ht="20.100000000000001" customHeight="1" thickBot="1">
      <c r="A5" s="320"/>
      <c r="B5" s="262" t="s">
        <v>308</v>
      </c>
      <c r="C5" s="737">
        <v>2</v>
      </c>
      <c r="D5" s="277" t="s">
        <v>309</v>
      </c>
      <c r="E5" s="321"/>
      <c r="F5" s="323"/>
      <c r="G5" s="314"/>
      <c r="H5" s="314"/>
      <c r="I5" s="324"/>
      <c r="J5" s="320"/>
      <c r="P5" s="277" t="s">
        <v>254</v>
      </c>
      <c r="Q5" s="283">
        <v>-48.388180779152698</v>
      </c>
      <c r="R5" s="321"/>
      <c r="T5" s="749" t="s">
        <v>286</v>
      </c>
    </row>
    <row r="6" spans="1:21" ht="20.100000000000001" customHeight="1">
      <c r="A6" s="320"/>
      <c r="B6" s="262" t="s">
        <v>310</v>
      </c>
      <c r="C6" s="737">
        <v>1</v>
      </c>
      <c r="D6" s="277" t="s">
        <v>309</v>
      </c>
      <c r="E6" s="321"/>
      <c r="J6" s="320"/>
      <c r="K6" s="263" t="s">
        <v>363</v>
      </c>
      <c r="L6" s="264"/>
      <c r="M6" s="287">
        <f>IF(M4&lt;20,150,IF((90+3*(M4))&gt;350,350,90+3*(M4)))</f>
        <v>210</v>
      </c>
      <c r="P6" s="277" t="s">
        <v>255</v>
      </c>
      <c r="Q6" s="283">
        <v>10.682248855609185</v>
      </c>
      <c r="R6" s="321"/>
    </row>
    <row r="7" spans="1:21" ht="20.100000000000001" customHeight="1">
      <c r="A7" s="320"/>
      <c r="E7" s="321"/>
      <c r="J7" s="320"/>
      <c r="N7" s="327" t="s">
        <v>301</v>
      </c>
      <c r="O7" s="327"/>
      <c r="R7" s="321"/>
    </row>
    <row r="8" spans="1:21" ht="20.100000000000001" customHeight="1">
      <c r="A8" s="320"/>
      <c r="B8" s="280" t="s">
        <v>311</v>
      </c>
      <c r="C8" s="288">
        <f>MROUND(10000/(C5*C6),10)</f>
        <v>5000</v>
      </c>
      <c r="D8" s="289" t="s">
        <v>21</v>
      </c>
      <c r="E8" s="321"/>
      <c r="J8" s="320"/>
      <c r="K8" s="740">
        <v>1</v>
      </c>
      <c r="L8" s="263" t="str">
        <f>IF(K8=1,"Form.Compl. Comercial","Form.Compl. a la Carta")</f>
        <v>Form.Compl. Comercial</v>
      </c>
      <c r="M8" s="264"/>
      <c r="N8" s="282">
        <f>IF(K10="22",N14*2,SUM(N14,O14))</f>
        <v>17</v>
      </c>
      <c r="O8" s="304"/>
      <c r="Q8" s="765" t="s">
        <v>303</v>
      </c>
      <c r="R8" s="321"/>
    </row>
    <row r="9" spans="1:21" ht="20.100000000000001" customHeight="1" thickBot="1">
      <c r="A9" s="320"/>
      <c r="E9" s="321"/>
      <c r="J9" s="320"/>
      <c r="K9" s="740">
        <v>1</v>
      </c>
      <c r="L9" s="263" t="str">
        <f>IF(K9=1,"Con Extra Nitrogenada","Sin Nitrogenada")</f>
        <v>Con Extra Nitrogenada</v>
      </c>
      <c r="M9" s="264"/>
      <c r="N9" s="303">
        <f>IF(OR(K10="22",K10="12"),0,N22)</f>
        <v>5</v>
      </c>
      <c r="O9" s="304"/>
      <c r="P9" s="280" t="s">
        <v>147</v>
      </c>
      <c r="Q9" s="281">
        <f>Q5+Q6*LN(SUM(N13,O13,N21))</f>
        <v>25.294819955912992</v>
      </c>
      <c r="R9" s="321"/>
    </row>
    <row r="10" spans="1:21" ht="20.100000000000001" customHeight="1">
      <c r="A10" s="320"/>
      <c r="C10" s="744" t="s">
        <v>342</v>
      </c>
      <c r="E10" s="321"/>
      <c r="J10" s="320"/>
      <c r="K10" s="709" t="str" cm="1">
        <f t="array" ref="K10">IF(_xlfn.CONCAT(K8,K9)="12",ERROR,_xlfn.CONCAT(K8,K9))</f>
        <v>11</v>
      </c>
      <c r="L10" s="708" t="str">
        <f>IF(OR(K10="11",K10="21"),"",IF(K10="22","A la Carta sin Extra Nitrogen.","3ra con Fórmula Completa"))</f>
        <v/>
      </c>
      <c r="M10" s="710"/>
      <c r="N10" s="303">
        <f>IF(OR(K10="22",K10="12"),N22,0)</f>
        <v>0</v>
      </c>
      <c r="Q10" s="328"/>
      <c r="R10" s="321"/>
    </row>
    <row r="11" spans="1:21" ht="20.100000000000001" customHeight="1" thickBot="1">
      <c r="A11" s="320"/>
      <c r="C11" s="312" t="s">
        <v>343</v>
      </c>
      <c r="E11" s="321"/>
      <c r="J11" s="320"/>
      <c r="R11" s="321"/>
    </row>
    <row r="12" spans="1:21" ht="20.100000000000001" customHeight="1" thickBot="1">
      <c r="A12" s="323"/>
      <c r="B12" s="314"/>
      <c r="C12" s="314"/>
      <c r="D12" s="314"/>
      <c r="E12" s="324"/>
      <c r="J12" s="320"/>
      <c r="L12" s="418" t="s">
        <v>543</v>
      </c>
      <c r="M12" s="419" t="s">
        <v>302</v>
      </c>
      <c r="N12" s="419" t="s">
        <v>337</v>
      </c>
      <c r="O12" s="419" t="s">
        <v>338</v>
      </c>
      <c r="Q12" s="745" t="s">
        <v>342</v>
      </c>
      <c r="R12" s="321"/>
    </row>
    <row r="13" spans="1:21" ht="20.100000000000001" customHeight="1" thickBot="1">
      <c r="J13" s="320"/>
      <c r="K13" s="409" t="s">
        <v>341</v>
      </c>
      <c r="L13" s="262" t="s">
        <v>299</v>
      </c>
      <c r="M13" s="285" t="s">
        <v>121</v>
      </c>
      <c r="N13" s="284">
        <f>N14*45</f>
        <v>382.5</v>
      </c>
      <c r="O13" s="284">
        <f>O14*45</f>
        <v>382.5</v>
      </c>
      <c r="Q13" s="325" t="s">
        <v>344</v>
      </c>
      <c r="R13" s="321"/>
    </row>
    <row r="14" spans="1:21" ht="20.100000000000001" customHeight="1" thickBot="1">
      <c r="J14" s="320"/>
      <c r="M14" s="702" t="s">
        <v>301</v>
      </c>
      <c r="N14" s="703">
        <f>MROUND(ROUNDUP((($M$6/3)/N16)/45,1),0.5)</f>
        <v>8.5</v>
      </c>
      <c r="O14" s="703">
        <f>MROUND(ROUNDUP((($M$6/3)/O16)/45,1),0.5)</f>
        <v>8.5</v>
      </c>
      <c r="R14" s="321"/>
      <c r="T14" s="340"/>
      <c r="U14" s="340"/>
    </row>
    <row r="15" spans="1:21" ht="20.100000000000001" customHeight="1">
      <c r="J15" s="320"/>
      <c r="M15" s="285" t="s">
        <v>300</v>
      </c>
      <c r="N15" s="284">
        <f>N13*1000/FICHA!J4</f>
        <v>76.5</v>
      </c>
      <c r="O15" s="284">
        <f>O13*1000/FICHA!J4</f>
        <v>76.5</v>
      </c>
      <c r="Q15" s="745" t="s">
        <v>342</v>
      </c>
      <c r="R15" s="321"/>
    </row>
    <row r="16" spans="1:21" ht="20.100000000000001" customHeight="1" thickBot="1">
      <c r="J16" s="320"/>
      <c r="L16" s="263" t="s">
        <v>372</v>
      </c>
      <c r="M16" s="277" t="s">
        <v>340</v>
      </c>
      <c r="N16" s="778">
        <v>0.18</v>
      </c>
      <c r="O16" s="778">
        <f>N16</f>
        <v>0.18</v>
      </c>
      <c r="Q16" s="325" t="s">
        <v>368</v>
      </c>
      <c r="R16" s="321"/>
      <c r="T16" s="342">
        <f>LEN(ROUND((N16*100-INT(N16*100)),4))</f>
        <v>1</v>
      </c>
    </row>
    <row r="17" spans="10:20" ht="20.100000000000001" customHeight="1">
      <c r="J17" s="320"/>
      <c r="M17" s="278" t="s">
        <v>121</v>
      </c>
      <c r="N17" s="701">
        <f>N13*N16</f>
        <v>68.849999999999994</v>
      </c>
      <c r="O17" s="701">
        <f>O16*O13</f>
        <v>68.849999999999994</v>
      </c>
      <c r="R17" s="321"/>
      <c r="S17" s="343"/>
      <c r="T17" s="341" t="s">
        <v>382</v>
      </c>
    </row>
    <row r="18" spans="10:20" ht="20.100000000000001" customHeight="1">
      <c r="J18" s="320"/>
      <c r="L18" s="748" t="s">
        <v>313</v>
      </c>
      <c r="M18" s="700" t="s">
        <v>314</v>
      </c>
      <c r="N18" s="699">
        <f>IF(UNIT!Z1=1,UNIT!AD33,UNIT!AF33)</f>
        <v>19760.339473684202</v>
      </c>
      <c r="O18" s="699">
        <f>N18</f>
        <v>19760.339473684202</v>
      </c>
      <c r="P18" s="265" t="str">
        <f>IF(S18=2,"Ajustar","")</f>
        <v/>
      </c>
      <c r="R18" s="321"/>
      <c r="S18" s="341">
        <f>IF(N16=O16,1,2)</f>
        <v>1</v>
      </c>
      <c r="T18" s="342">
        <f>SUM(N17:O17,N25)</f>
        <v>213.07499999999999</v>
      </c>
    </row>
    <row r="19" spans="10:20" ht="20.100000000000001" customHeight="1">
      <c r="J19" s="320"/>
      <c r="O19" s="327" t="str">
        <f>IF(S18=2,"Precio","")</f>
        <v/>
      </c>
      <c r="R19" s="321"/>
      <c r="S19" s="343"/>
      <c r="T19" s="343"/>
    </row>
    <row r="20" spans="10:20" ht="20.100000000000001" customHeight="1">
      <c r="J20" s="320"/>
      <c r="N20" s="419" t="s">
        <v>339</v>
      </c>
      <c r="R20" s="321"/>
    </row>
    <row r="21" spans="10:20" ht="20.100000000000001" customHeight="1">
      <c r="J21" s="320"/>
      <c r="K21" s="409" t="str">
        <f>IF(K10="22","F.C.","F.N.")</f>
        <v>F.N.</v>
      </c>
      <c r="L21" s="262" t="str">
        <f>IF(OR(K10="12",K10="22"),"Fórm.Completa","Fórm.Nitrogen.")</f>
        <v>Fórm.Nitrogen.</v>
      </c>
      <c r="M21" s="285" t="s">
        <v>121</v>
      </c>
      <c r="N21" s="284">
        <f>N22*45</f>
        <v>225</v>
      </c>
      <c r="R21" s="321"/>
    </row>
    <row r="22" spans="10:20" ht="20.100000000000001" customHeight="1" thickBot="1">
      <c r="J22" s="320"/>
      <c r="M22" s="280" t="s">
        <v>301</v>
      </c>
      <c r="N22" s="703">
        <f>MROUND(ROUNDUP(((M6-SUM(N17:O17))/N24)/45,1),0.5)</f>
        <v>5</v>
      </c>
      <c r="R22" s="321"/>
      <c r="T22" s="340"/>
    </row>
    <row r="23" spans="10:20" ht="20.100000000000001" customHeight="1">
      <c r="J23" s="320"/>
      <c r="M23" s="285" t="s">
        <v>300</v>
      </c>
      <c r="N23" s="284">
        <f>N21*1000/FICHA!J4</f>
        <v>45</v>
      </c>
      <c r="P23" s="347" t="s">
        <v>369</v>
      </c>
      <c r="Q23" s="348"/>
      <c r="R23" s="321"/>
    </row>
    <row r="24" spans="10:20" ht="20.100000000000001" customHeight="1">
      <c r="J24" s="320"/>
      <c r="L24" s="262" t="s">
        <v>372</v>
      </c>
      <c r="M24" s="277" t="s">
        <v>340</v>
      </c>
      <c r="N24" s="778">
        <v>0.33500000000000002</v>
      </c>
      <c r="O24" s="265" t="str">
        <f>IF(OR(K10="12",K10="22"),"Ajustar","")</f>
        <v/>
      </c>
      <c r="P24" s="349" t="s">
        <v>370</v>
      </c>
      <c r="Q24" s="350"/>
      <c r="R24" s="321"/>
      <c r="T24" s="342">
        <f>LEN(ROUND((N24*100-INT(N24*100)),4))</f>
        <v>3</v>
      </c>
    </row>
    <row r="25" spans="10:20" ht="20.100000000000001" customHeight="1">
      <c r="J25" s="320"/>
      <c r="M25" s="286" t="s">
        <v>121</v>
      </c>
      <c r="N25" s="706">
        <f>N21*N24</f>
        <v>75.375</v>
      </c>
      <c r="P25" s="351" t="s">
        <v>371</v>
      </c>
      <c r="Q25" s="746" t="s">
        <v>342</v>
      </c>
      <c r="R25" s="321"/>
    </row>
    <row r="26" spans="10:20" ht="20.100000000000001" customHeight="1" thickBot="1">
      <c r="J26" s="320"/>
      <c r="L26" s="748" t="s">
        <v>313</v>
      </c>
      <c r="M26" s="704" t="s">
        <v>314</v>
      </c>
      <c r="N26" s="705">
        <f>IF(UNIT!Z1=1,UNIT!AD34,IF(OR(K10="22",K10="12"),UNIT!AF33,UNIT!AF34))</f>
        <v>19050</v>
      </c>
      <c r="O26" s="265"/>
      <c r="P26" s="352" t="s">
        <v>387</v>
      </c>
      <c r="Q26" s="747" t="s">
        <v>342</v>
      </c>
      <c r="R26" s="321"/>
    </row>
    <row r="27" spans="10:20" ht="20.100000000000001" customHeight="1" thickBot="1">
      <c r="J27" s="323"/>
      <c r="K27" s="314"/>
      <c r="L27" s="314"/>
      <c r="M27" s="314"/>
      <c r="N27" s="314"/>
      <c r="O27" s="314"/>
      <c r="P27" s="314"/>
      <c r="Q27" s="314"/>
      <c r="R27" s="324"/>
    </row>
    <row r="28" spans="10:20" ht="20.100000000000001" customHeight="1">
      <c r="N28" s="290"/>
    </row>
  </sheetData>
  <sheetProtection algorithmName="SHA-512" hashValue="8KM4qBJ3X0qxrT40oGBZiywqiiHtUoAFXzfb4+5MbzNQ4yNcUeOUjzQ3nrcNKoTx5IcnAoBonQPAtjCjKvKB+A==" saltValue="4ZRYNMed9yrdOFKMS0xqfA==" spinCount="100000" sheet="1" objects="1" scenarios="1"/>
  <conditionalFormatting sqref="G4">
    <cfRule type="cellIs" dxfId="32" priority="1" operator="equal">
      <formula>2</formula>
    </cfRule>
  </conditionalFormatting>
  <conditionalFormatting sqref="K9">
    <cfRule type="cellIs" dxfId="31" priority="18" operator="equal">
      <formula>2</formula>
    </cfRule>
  </conditionalFormatting>
  <conditionalFormatting sqref="K10">
    <cfRule type="cellIs" dxfId="30" priority="16" operator="equal">
      <formula>"12"</formula>
    </cfRule>
    <cfRule type="cellIs" dxfId="29" priority="17" operator="equal">
      <formula>"22"</formula>
    </cfRule>
  </conditionalFormatting>
  <conditionalFormatting sqref="L9">
    <cfRule type="cellIs" dxfId="28" priority="9" operator="equal">
      <formula>"Sin Nitrogenada"</formula>
    </cfRule>
  </conditionalFormatting>
  <conditionalFormatting sqref="L10">
    <cfRule type="cellIs" dxfId="27" priority="5" operator="equal">
      <formula>""</formula>
    </cfRule>
  </conditionalFormatting>
  <conditionalFormatting sqref="L21">
    <cfRule type="cellIs" dxfId="26" priority="15" operator="equal">
      <formula>"Fórm.Completa"</formula>
    </cfRule>
  </conditionalFormatting>
  <conditionalFormatting sqref="N9">
    <cfRule type="cellIs" dxfId="25" priority="8" operator="equal">
      <formula>0</formula>
    </cfRule>
  </conditionalFormatting>
  <conditionalFormatting sqref="N10">
    <cfRule type="cellIs" dxfId="24" priority="7" operator="equal">
      <formula>0</formula>
    </cfRule>
  </conditionalFormatting>
  <conditionalFormatting sqref="N24">
    <cfRule type="expression" dxfId="23" priority="2">
      <formula>$T$24=4</formula>
    </cfRule>
  </conditionalFormatting>
  <conditionalFormatting sqref="N16:O16">
    <cfRule type="expression" dxfId="22" priority="3">
      <formula>$T$16=4</formula>
    </cfRule>
  </conditionalFormatting>
  <conditionalFormatting sqref="O19">
    <cfRule type="cellIs" dxfId="21" priority="10" operator="equal">
      <formula>"Precio"</formula>
    </cfRule>
  </conditionalFormatting>
  <conditionalFormatting sqref="O24">
    <cfRule type="cellIs" dxfId="20" priority="14" operator="equal">
      <formula>"Ajustar"</formula>
    </cfRule>
  </conditionalFormatting>
  <conditionalFormatting sqref="O26">
    <cfRule type="cellIs" dxfId="19" priority="12" operator="equal">
      <formula>"Ajustar"</formula>
    </cfRule>
  </conditionalFormatting>
  <conditionalFormatting sqref="P18">
    <cfRule type="cellIs" dxfId="18" priority="11" operator="equal">
      <formula>"Ajustar"</formula>
    </cfRule>
  </conditionalFormatting>
  <dataValidations count="8">
    <dataValidation type="decimal" allowBlank="1" showInputMessage="1" showErrorMessage="1" error="Digitar un porcentaje entre 22% y 33%._x000a__x000a_Aunque la Úrea (46%) es una alternativa, no es conveniente por acidifica los suelos y tiene más probabilidades de volatilizarse." sqref="N24" xr:uid="{504537D7-BF59-4DE3-8789-E343B2276FCE}">
      <formula1>0.15</formula1>
      <formula2>0.335</formula2>
    </dataValidation>
    <dataValidation type="decimal" allowBlank="1" showInputMessage="1" showErrorMessage="1" error="Digite un número entre 2.00 y 2.50 m, que son las DISTANCIAS extremas recomendadas entre HILERAS." sqref="C5" xr:uid="{A08245CF-8C08-4597-8A37-A67141F384AC}">
      <formula1>2</formula1>
      <formula2>2.5</formula2>
    </dataValidation>
    <dataValidation type="decimal" allowBlank="1" showInputMessage="1" showErrorMessage="1" error="Digite un número entre 0.80 a 1.00 m, que son las DISTANCIAS extremas recomendadas entre PLANTAS." sqref="C6" xr:uid="{1C98CFF4-F250-4D80-9B84-407CB15EB045}">
      <formula1>0.8</formula1>
      <formula2>1</formula2>
    </dataValidation>
    <dataValidation type="whole" allowBlank="1" showInputMessage="1" showErrorMessage="1" error="Digite un número ENTERO entre 1 y 2, para indicar si:_x000a_(1) Hay sombra en el cafetal._x000a_(2) No hay sombra en el cafetal." sqref="G4" xr:uid="{A43A2477-9006-4D70-AC4D-610DB8DE6F0A}">
      <formula1>1</formula1>
      <formula2>2</formula2>
    </dataValidation>
    <dataValidation type="whole" allowBlank="1" showInputMessage="1" showErrorMessage="1" error="Digite un:_x000a_1.- Fórmula Completa Comercial._x000a_2.- Fórmula Completa a la Carta" sqref="K8:K9" xr:uid="{A49F2FEE-57E9-409C-80B4-8FF1A858CD41}">
      <formula1>1</formula1>
      <formula2>2</formula2>
    </dataValidation>
    <dataValidation type="decimal" allowBlank="1" showInputMessage="1" showErrorMessage="1" error="Digite un porcentaje entre 15% y 32%." sqref="N16:O16" xr:uid="{DD62A548-BCD9-4FDA-A5E7-B57B53BABB2E}">
      <formula1>0.15</formula1>
      <formula2>0.32</formula2>
    </dataValidation>
    <dataValidation type="list" allowBlank="1" showInputMessage="1" showErrorMessage="1" sqref="K10" xr:uid="{CC163F24-22AF-4A1A-9194-C9CE6511F8AF}">
      <formula1>$T$3:$T$5</formula1>
    </dataValidation>
    <dataValidation type="decimal" allowBlank="1" showInputMessage="1" showErrorMessage="1" error="Digite un número entre 10 y 160, acepta decimales." sqref="M4" xr:uid="{F2CD0CF0-D419-4F7A-B0C3-55A7238A2439}">
      <formula1>10</formula1>
      <formula2>160</formula2>
    </dataValidation>
  </dataValidations>
  <hyperlinks>
    <hyperlink ref="C10" r:id="rId1" xr:uid="{B149833D-8FDF-4D61-9978-A484694BE515}"/>
    <hyperlink ref="Q12" r:id="rId2" xr:uid="{D94D3F16-9926-41A0-8DC1-C4DB9CD4DAF9}"/>
    <hyperlink ref="Q15" r:id="rId3" xr:uid="{69699159-261D-476F-B8B6-E8EA9174BE1A}"/>
    <hyperlink ref="Q25" r:id="rId4" xr:uid="{DBE0BED7-BA58-44F1-BC3C-054AE003F723}"/>
    <hyperlink ref="Q26" r:id="rId5" xr:uid="{7575B89C-D362-4032-835B-B55D77BC54B7}"/>
  </hyperlinks>
  <printOptions horizontalCentered="1" verticalCentered="1"/>
  <pageMargins left="0.51181102362204722" right="0.51181102362204722" top="0.74803149606299213" bottom="0.74803149606299213" header="0.31496062992125984" footer="0.31496062992125984"/>
  <pageSetup scale="90" orientation="portrait" r:id="rId6"/>
  <colBreaks count="1" manualBreakCount="1">
    <brk id="9" max="1048575" man="1"/>
  </colBreaks>
  <ignoredErrors>
    <ignoredError sqref="T3:T5" numberStoredAsText="1"/>
  </ignoredErrors>
  <drawing r:id="rId7"/>
  <legacy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FEB8-6EF2-43B9-9CEC-5FB82A932A11}">
  <sheetPr>
    <tabColor rgb="FF4D4B34"/>
  </sheetPr>
  <dimension ref="A1:X47"/>
  <sheetViews>
    <sheetView showGridLines="0" zoomScale="110" zoomScaleNormal="110" workbookViewId="0">
      <pane ySplit="2" topLeftCell="A3" activePane="bottomLeft" state="frozen"/>
      <selection activeCell="C5" sqref="C5:D6"/>
      <selection pane="bottomLeft" activeCell="M5" sqref="M5"/>
    </sheetView>
  </sheetViews>
  <sheetFormatPr baseColWidth="10" defaultColWidth="10.7109375" defaultRowHeight="20.100000000000001" customHeight="1"/>
  <cols>
    <col min="1" max="1" width="3.140625" style="261" customWidth="1"/>
    <col min="2" max="2" width="27.5703125" style="261" customWidth="1"/>
    <col min="3" max="3" width="11.140625" style="265" customWidth="1"/>
    <col min="4" max="4" width="13.7109375" style="265" bestFit="1" customWidth="1"/>
    <col min="5" max="5" width="13.140625" style="261" bestFit="1" customWidth="1"/>
    <col min="6" max="6" width="16.42578125" style="261" customWidth="1"/>
    <col min="7" max="7" width="13.140625" style="261" customWidth="1"/>
    <col min="8" max="8" width="12.85546875" style="261" customWidth="1"/>
    <col min="9" max="10" width="3.140625" style="261" customWidth="1"/>
    <col min="11" max="11" width="9" style="261" bestFit="1" customWidth="1"/>
    <col min="12" max="12" width="28.28515625" style="261" bestFit="1" customWidth="1"/>
    <col min="13" max="13" width="11" style="261" bestFit="1" customWidth="1"/>
    <col min="14" max="17" width="12" style="261" customWidth="1"/>
    <col min="18" max="18" width="11.42578125" style="261" bestFit="1" customWidth="1"/>
    <col min="19" max="19" width="12" style="261" customWidth="1"/>
    <col min="20" max="20" width="3.140625" style="261" customWidth="1"/>
    <col min="21" max="22" width="12" style="261" customWidth="1"/>
    <col min="23" max="16384" width="10.7109375" style="261"/>
  </cols>
  <sheetData>
    <row r="1" spans="1:24" ht="20.100000000000001" customHeight="1" thickBot="1">
      <c r="A1" s="317"/>
      <c r="B1" s="318"/>
      <c r="C1" s="330"/>
      <c r="D1" s="330"/>
      <c r="E1" s="318"/>
      <c r="F1" s="318"/>
      <c r="G1" s="318"/>
      <c r="H1" s="318"/>
      <c r="I1" s="318"/>
      <c r="J1" s="317"/>
      <c r="K1" s="318"/>
      <c r="L1" s="318"/>
      <c r="M1" s="318"/>
      <c r="N1" s="318"/>
      <c r="O1" s="318"/>
      <c r="P1" s="318"/>
      <c r="Q1" s="318"/>
      <c r="R1" s="318"/>
      <c r="S1" s="318"/>
      <c r="T1" s="319"/>
    </row>
    <row r="2" spans="1:24" ht="20.100000000000001" customHeight="1" thickBot="1">
      <c r="A2" s="320"/>
      <c r="B2" s="269" t="s">
        <v>336</v>
      </c>
      <c r="C2" s="270"/>
      <c r="D2" s="270"/>
      <c r="E2" s="270"/>
      <c r="F2" s="270"/>
      <c r="G2" s="270"/>
      <c r="H2" s="271"/>
      <c r="J2" s="320"/>
      <c r="K2" s="414" t="s">
        <v>388</v>
      </c>
      <c r="L2" s="415" t="s">
        <v>378</v>
      </c>
      <c r="M2" s="416" t="s">
        <v>389</v>
      </c>
      <c r="T2" s="321"/>
    </row>
    <row r="3" spans="1:24" ht="20.100000000000001" customHeight="1">
      <c r="A3" s="320"/>
      <c r="J3" s="320"/>
      <c r="K3" s="265">
        <v>1</v>
      </c>
      <c r="L3" s="261" t="s">
        <v>375</v>
      </c>
      <c r="M3" s="738">
        <v>0</v>
      </c>
      <c r="O3" s="322" t="s">
        <v>390</v>
      </c>
      <c r="T3" s="321"/>
    </row>
    <row r="4" spans="1:24" ht="20.100000000000001" customHeight="1">
      <c r="A4" s="320"/>
      <c r="C4" s="261"/>
      <c r="D4" s="742" t="s">
        <v>335</v>
      </c>
      <c r="F4" s="743" t="s">
        <v>303</v>
      </c>
      <c r="H4" s="353"/>
      <c r="J4" s="320"/>
      <c r="K4" s="265">
        <v>2</v>
      </c>
      <c r="L4" s="261" t="s">
        <v>376</v>
      </c>
      <c r="M4" s="738">
        <v>0</v>
      </c>
      <c r="T4" s="321"/>
    </row>
    <row r="5" spans="1:24" ht="20.100000000000001" customHeight="1">
      <c r="A5" s="320"/>
      <c r="C5" s="277" t="s">
        <v>254</v>
      </c>
      <c r="D5" s="283">
        <v>10.625227286048375</v>
      </c>
      <c r="E5" s="305" t="s">
        <v>147</v>
      </c>
      <c r="F5" s="281">
        <f>D5*POWER((D9*$C$9/200),D6)</f>
        <v>64.219263387524663</v>
      </c>
      <c r="H5" s="353"/>
      <c r="J5" s="320"/>
      <c r="K5" s="265">
        <v>3</v>
      </c>
      <c r="L5" s="261" t="s">
        <v>377</v>
      </c>
      <c r="M5" s="738">
        <v>0</v>
      </c>
      <c r="T5" s="321"/>
    </row>
    <row r="6" spans="1:24" ht="20.100000000000001" customHeight="1" thickBot="1">
      <c r="A6" s="320"/>
      <c r="C6" s="277" t="s">
        <v>255</v>
      </c>
      <c r="D6" s="283">
        <v>0.70140648469761535</v>
      </c>
      <c r="J6" s="320"/>
      <c r="K6" s="315">
        <v>4</v>
      </c>
      <c r="L6" s="314" t="s">
        <v>379</v>
      </c>
      <c r="M6" s="752">
        <v>0</v>
      </c>
      <c r="T6" s="321"/>
    </row>
    <row r="7" spans="1:24" ht="20.100000000000001" customHeight="1" thickBot="1">
      <c r="A7" s="320"/>
      <c r="C7" s="331"/>
      <c r="J7" s="320"/>
      <c r="T7" s="321"/>
    </row>
    <row r="8" spans="1:24" ht="20.100000000000001" customHeight="1" thickBot="1">
      <c r="A8" s="320"/>
      <c r="B8" s="306" t="s">
        <v>107</v>
      </c>
      <c r="C8" s="307" t="s">
        <v>332</v>
      </c>
      <c r="D8" s="308" t="s">
        <v>333</v>
      </c>
      <c r="E8" s="308" t="s">
        <v>334</v>
      </c>
      <c r="F8" s="309" t="s">
        <v>147</v>
      </c>
      <c r="H8" s="327"/>
      <c r="J8" s="320"/>
      <c r="T8" s="321"/>
    </row>
    <row r="9" spans="1:24" ht="20.100000000000001" customHeight="1">
      <c r="A9" s="320"/>
      <c r="B9" s="261" t="s">
        <v>6</v>
      </c>
      <c r="C9" s="265">
        <v>4</v>
      </c>
      <c r="D9" s="751">
        <v>650</v>
      </c>
      <c r="E9" s="328">
        <f>F9/(D9/200)/C9</f>
        <v>4.9399433375018971</v>
      </c>
      <c r="F9" s="328">
        <f>F5</f>
        <v>64.219263387524663</v>
      </c>
      <c r="H9" s="328"/>
      <c r="J9" s="320"/>
      <c r="K9" s="322" t="s">
        <v>391</v>
      </c>
      <c r="T9" s="321"/>
    </row>
    <row r="10" spans="1:24" ht="20.100000000000001" customHeight="1" thickBot="1">
      <c r="A10" s="320"/>
      <c r="J10" s="320"/>
      <c r="T10" s="321"/>
    </row>
    <row r="11" spans="1:24" ht="20.100000000000001" customHeight="1" thickBot="1">
      <c r="A11" s="320"/>
      <c r="B11" s="306" t="s">
        <v>317</v>
      </c>
      <c r="C11" s="308" t="s">
        <v>302</v>
      </c>
      <c r="D11" s="308" t="s">
        <v>318</v>
      </c>
      <c r="E11" s="310" t="s">
        <v>319</v>
      </c>
      <c r="F11" s="354" t="s">
        <v>320</v>
      </c>
      <c r="G11" s="354" t="s">
        <v>313</v>
      </c>
      <c r="H11" s="311" t="s">
        <v>57</v>
      </c>
      <c r="J11" s="320"/>
      <c r="T11" s="321"/>
    </row>
    <row r="12" spans="1:24" ht="20.100000000000001" customHeight="1">
      <c r="A12" s="320"/>
      <c r="B12" s="261" t="s">
        <v>321</v>
      </c>
      <c r="C12" s="265" t="s">
        <v>322</v>
      </c>
      <c r="D12" s="332">
        <v>0.2</v>
      </c>
      <c r="E12" s="332">
        <f>IF(SUM($M$3:$M$6)=0,M18,IF(SUM($M$3:$M$6)&gt;=4,SUM(N18:Q18),IF(SUM(N18:Q18)&gt;M18,SUM(N18:Q18),M18-SUM(N18:Q18))))</f>
        <v>2.2857142857142856</v>
      </c>
      <c r="F12" s="332">
        <f>ROUND(D12*E12,3)</f>
        <v>0.45700000000000002</v>
      </c>
      <c r="G12" s="331">
        <f>IF(UNIT!Z1=1,UNIT!AD43,UNIT!AF43)</f>
        <v>134019.83799999999</v>
      </c>
      <c r="H12" s="331">
        <f>F12*G12</f>
        <v>61247.065965999995</v>
      </c>
      <c r="I12" s="329"/>
      <c r="J12" s="320"/>
      <c r="T12" s="321"/>
      <c r="U12" s="768" t="s">
        <v>546</v>
      </c>
      <c r="V12" s="770">
        <f>SUM(F12,F18)</f>
        <v>0.68600000000000005</v>
      </c>
      <c r="X12" s="265"/>
    </row>
    <row r="13" spans="1:24" ht="20.100000000000001" customHeight="1">
      <c r="A13" s="320"/>
      <c r="B13" s="261" t="s">
        <v>323</v>
      </c>
      <c r="C13" s="265" t="s">
        <v>324</v>
      </c>
      <c r="D13" s="332">
        <v>0.4</v>
      </c>
      <c r="E13" s="332">
        <f>IF(SUM($M$3:$M$6)=0,M19,IF(SUM($M$3:$M$6)&gt;=4,SUM(N19:Q19),IF(SUM(N19:Q19)&gt;M19,SUM(N19:Q19),M19-SUM(N19:Q19))))</f>
        <v>1.7142857142857142</v>
      </c>
      <c r="F13" s="332">
        <f t="shared" ref="F13:F20" si="0">ROUND(D13*E13,3)</f>
        <v>0.68600000000000005</v>
      </c>
      <c r="G13" s="331">
        <f>IF(UNIT!Z1=1,UNIT!AD39,UNIT!AF39)</f>
        <v>31882.174545454549</v>
      </c>
      <c r="H13" s="331">
        <f t="shared" ref="H13:H20" si="1">F13*G13</f>
        <v>21871.171738181823</v>
      </c>
      <c r="I13" s="329"/>
      <c r="J13" s="320"/>
      <c r="T13" s="321"/>
      <c r="U13" s="768" t="s">
        <v>545</v>
      </c>
      <c r="V13" s="769">
        <f>SUM(F13,F15,F19)</f>
        <v>2.286</v>
      </c>
      <c r="X13" s="265"/>
    </row>
    <row r="14" spans="1:24" ht="20.100000000000001" customHeight="1">
      <c r="A14" s="320"/>
      <c r="B14" s="263" t="s">
        <v>325</v>
      </c>
      <c r="C14" s="333" t="s">
        <v>324</v>
      </c>
      <c r="D14" s="334">
        <f>ROUND(SUMIF(D40:D44,"&gt;0",E40:E44)/COUNTIF(D40:D44,"&gt;0"),3)</f>
        <v>0.20100000000000001</v>
      </c>
      <c r="E14" s="334">
        <v>4</v>
      </c>
      <c r="F14" s="334">
        <f>ROUND(D14*(D9/200)*E14,3)</f>
        <v>2.613</v>
      </c>
      <c r="G14" s="711">
        <f>IF(UNIT!Z1=1,UNIT!AD48,UNIT!AF48)</f>
        <v>8260.2478655303021</v>
      </c>
      <c r="H14" s="362">
        <f t="shared" si="1"/>
        <v>21584.02767263068</v>
      </c>
      <c r="I14" s="329"/>
      <c r="J14" s="320"/>
      <c r="K14" s="322"/>
      <c r="T14" s="321"/>
      <c r="X14" s="265"/>
    </row>
    <row r="15" spans="1:24" ht="20.100000000000001" customHeight="1">
      <c r="A15" s="320"/>
      <c r="B15" s="261" t="s">
        <v>326</v>
      </c>
      <c r="C15" s="265" t="s">
        <v>324</v>
      </c>
      <c r="D15" s="332">
        <v>0.4</v>
      </c>
      <c r="E15" s="332">
        <f t="shared" ref="E15:E20" si="2">IF(SUM($M$3:$M$6)=0,M21,IF(SUM($M$3:$M$6)&gt;=4,SUM(N21:Q21),IF(SUM(N21:Q21)&gt;M21,SUM(N21:Q21),M21-SUM(N21:Q21))))</f>
        <v>1.1428571428571428</v>
      </c>
      <c r="F15" s="332">
        <f t="shared" si="0"/>
        <v>0.45700000000000002</v>
      </c>
      <c r="G15" s="331">
        <f>IF(UNIT!Z1=1,UNIT!AD40,UNIT!AF40)</f>
        <v>19756.647000000001</v>
      </c>
      <c r="H15" s="331">
        <f t="shared" si="1"/>
        <v>9028.7876790000009</v>
      </c>
      <c r="I15" s="329"/>
      <c r="J15" s="320"/>
      <c r="T15" s="321"/>
      <c r="X15" s="265"/>
    </row>
    <row r="16" spans="1:24" ht="20.100000000000001" customHeight="1" thickBot="1">
      <c r="A16" s="320"/>
      <c r="B16" s="261" t="s">
        <v>548</v>
      </c>
      <c r="C16" s="265" t="s">
        <v>324</v>
      </c>
      <c r="D16" s="332">
        <v>1</v>
      </c>
      <c r="E16" s="332">
        <f t="shared" si="2"/>
        <v>0.5714285714285714</v>
      </c>
      <c r="F16" s="332">
        <f t="shared" si="0"/>
        <v>0.57099999999999995</v>
      </c>
      <c r="G16" s="331">
        <f>IF(UNIT!Z1=1,UNIT!AD47,UNIT!AF47)</f>
        <v>11518.293750000001</v>
      </c>
      <c r="H16" s="331">
        <f t="shared" si="1"/>
        <v>6576.9457312499999</v>
      </c>
      <c r="I16" s="329"/>
      <c r="J16" s="320"/>
      <c r="T16" s="321"/>
      <c r="X16" s="265"/>
    </row>
    <row r="17" spans="1:24" ht="20.100000000000001" customHeight="1" thickBot="1">
      <c r="A17" s="320"/>
      <c r="B17" s="261" t="s">
        <v>327</v>
      </c>
      <c r="C17" s="265" t="s">
        <v>322</v>
      </c>
      <c r="D17" s="332">
        <v>1</v>
      </c>
      <c r="E17" s="332">
        <f t="shared" si="2"/>
        <v>0.5714285714285714</v>
      </c>
      <c r="F17" s="332">
        <f t="shared" si="0"/>
        <v>0.57099999999999995</v>
      </c>
      <c r="G17" s="331">
        <f>IF(UNIT!Z1=1,UNIT!AD45,UNIT!AF45)</f>
        <v>11663.038181818181</v>
      </c>
      <c r="H17" s="331">
        <f t="shared" si="1"/>
        <v>6659.5948018181807</v>
      </c>
      <c r="I17" s="329"/>
      <c r="J17" s="320"/>
      <c r="L17" s="306" t="s">
        <v>317</v>
      </c>
      <c r="M17" s="356" t="s">
        <v>319</v>
      </c>
      <c r="N17" s="308" t="s">
        <v>337</v>
      </c>
      <c r="O17" s="308" t="s">
        <v>338</v>
      </c>
      <c r="P17" s="308" t="s">
        <v>339</v>
      </c>
      <c r="Q17" s="309" t="s">
        <v>392</v>
      </c>
      <c r="T17" s="321"/>
      <c r="U17" s="768" t="s">
        <v>547</v>
      </c>
      <c r="V17" s="770">
        <f>SUM(F17,F20)</f>
        <v>2</v>
      </c>
      <c r="X17" s="265"/>
    </row>
    <row r="18" spans="1:24" ht="20.100000000000001" customHeight="1">
      <c r="A18" s="320"/>
      <c r="B18" s="261" t="s">
        <v>328</v>
      </c>
      <c r="C18" s="265" t="s">
        <v>324</v>
      </c>
      <c r="D18" s="332">
        <v>0.4</v>
      </c>
      <c r="E18" s="332">
        <f t="shared" si="2"/>
        <v>0.5714285714285714</v>
      </c>
      <c r="F18" s="332">
        <f t="shared" si="0"/>
        <v>0.22900000000000001</v>
      </c>
      <c r="G18" s="331">
        <f>IF(UNIT!Z1=1,UNIT!AD44,UNIT!AF44)</f>
        <v>24392.95111111111</v>
      </c>
      <c r="H18" s="331">
        <f t="shared" si="1"/>
        <v>5585.9858044444445</v>
      </c>
      <c r="I18" s="329"/>
      <c r="J18" s="320"/>
      <c r="L18" s="261" t="s">
        <v>321</v>
      </c>
      <c r="M18" s="357">
        <v>2.2857142857142856</v>
      </c>
      <c r="N18" s="332">
        <f>IF(M3=2,1,0)</f>
        <v>0</v>
      </c>
      <c r="O18" s="332">
        <f>IF(M4=2,1,IF(M4=3,1,0))</f>
        <v>0</v>
      </c>
      <c r="P18" s="332">
        <f>IF(M5=2,1,IF(M5=3,1,0))</f>
        <v>0</v>
      </c>
      <c r="Q18" s="332">
        <f>IF(M6=2,1,0)</f>
        <v>0</v>
      </c>
      <c r="T18" s="321"/>
      <c r="X18" s="265"/>
    </row>
    <row r="19" spans="1:24" ht="20.100000000000001" customHeight="1">
      <c r="A19" s="320"/>
      <c r="B19" s="261" t="s">
        <v>329</v>
      </c>
      <c r="C19" s="265" t="s">
        <v>324</v>
      </c>
      <c r="D19" s="332">
        <v>1</v>
      </c>
      <c r="E19" s="332">
        <f t="shared" si="2"/>
        <v>1.1428571428571428</v>
      </c>
      <c r="F19" s="332">
        <f t="shared" si="0"/>
        <v>1.143</v>
      </c>
      <c r="G19" s="331">
        <f>IF(UNIT!Z1=1,UNIT!AD41,UNIT!AF41)</f>
        <v>30759.91</v>
      </c>
      <c r="H19" s="331">
        <f t="shared" si="1"/>
        <v>35158.577129999998</v>
      </c>
      <c r="I19" s="329"/>
      <c r="J19" s="320"/>
      <c r="L19" s="261" t="s">
        <v>323</v>
      </c>
      <c r="M19" s="357">
        <v>1.7142857142857142</v>
      </c>
      <c r="N19" s="332">
        <f>IF(M3=2,1,0)</f>
        <v>0</v>
      </c>
      <c r="O19" s="332">
        <f>IF(M4=2,1,IF(M4=3,1,0))</f>
        <v>0</v>
      </c>
      <c r="P19" s="332">
        <f>IF(M5=2,1,IF(M5=3,1,0))</f>
        <v>0</v>
      </c>
      <c r="Q19" s="332">
        <f>IF(M6=2,1,0)</f>
        <v>0</v>
      </c>
      <c r="T19" s="321"/>
      <c r="X19" s="265"/>
    </row>
    <row r="20" spans="1:24" ht="20.100000000000001" customHeight="1">
      <c r="A20" s="320"/>
      <c r="B20" s="261" t="s">
        <v>565</v>
      </c>
      <c r="C20" s="265" t="s">
        <v>330</v>
      </c>
      <c r="D20" s="332">
        <v>1.25</v>
      </c>
      <c r="E20" s="332">
        <f t="shared" si="2"/>
        <v>1.1428571428571428</v>
      </c>
      <c r="F20" s="332">
        <f t="shared" si="0"/>
        <v>1.429</v>
      </c>
      <c r="G20" s="331">
        <f>IF(UNIT!Z1=1,UNIT!AD46,UNIT!AF46)</f>
        <v>10587.148831018518</v>
      </c>
      <c r="H20" s="331">
        <f t="shared" si="1"/>
        <v>15129.035679525463</v>
      </c>
      <c r="I20" s="329"/>
      <c r="J20" s="320"/>
      <c r="L20" s="263" t="s">
        <v>325</v>
      </c>
      <c r="M20" s="358">
        <v>4</v>
      </c>
      <c r="N20" s="334">
        <f>IF(M3=0,0,1)</f>
        <v>0</v>
      </c>
      <c r="O20" s="334">
        <f>IF(M4=0,0,1)</f>
        <v>0</v>
      </c>
      <c r="P20" s="334">
        <f>IF(M5=0,0,1)</f>
        <v>0</v>
      </c>
      <c r="Q20" s="335">
        <f>IF(M6=0,0,1)</f>
        <v>0</v>
      </c>
      <c r="T20" s="321"/>
      <c r="X20" s="265"/>
    </row>
    <row r="21" spans="1:24" ht="20.100000000000001" customHeight="1" thickBot="1">
      <c r="A21" s="320"/>
      <c r="B21" s="314" t="s">
        <v>331</v>
      </c>
      <c r="C21" s="315" t="s">
        <v>324</v>
      </c>
      <c r="D21" s="315">
        <v>650</v>
      </c>
      <c r="E21" s="315">
        <v>4</v>
      </c>
      <c r="F21" s="316">
        <f t="shared" ref="F21" si="3">D21*E21</f>
        <v>2600</v>
      </c>
      <c r="G21" s="361" t="s">
        <v>27</v>
      </c>
      <c r="H21" s="363" t="s">
        <v>27</v>
      </c>
      <c r="J21" s="320"/>
      <c r="L21" s="261" t="s">
        <v>326</v>
      </c>
      <c r="M21" s="357">
        <v>1.1428571428571428</v>
      </c>
      <c r="N21" s="332">
        <f>IF(M3=3,1,0)</f>
        <v>0</v>
      </c>
      <c r="O21" s="332">
        <f>IF(M4=4,1,0)</f>
        <v>0</v>
      </c>
      <c r="P21" s="332">
        <f>IF(M5=4,1,0)</f>
        <v>0</v>
      </c>
      <c r="Q21" s="332">
        <f>IF(M6=3,1,0)</f>
        <v>0</v>
      </c>
      <c r="T21" s="321"/>
    </row>
    <row r="22" spans="1:24" ht="20.100000000000001" customHeight="1">
      <c r="A22" s="320"/>
      <c r="D22" s="419" t="s">
        <v>345</v>
      </c>
      <c r="F22" s="419" t="s">
        <v>345</v>
      </c>
      <c r="G22" s="355"/>
      <c r="H22" s="753">
        <f>SUM(H12:H21)</f>
        <v>182841.19220285057</v>
      </c>
      <c r="J22" s="320"/>
      <c r="L22" s="261" t="s">
        <v>548</v>
      </c>
      <c r="M22" s="357">
        <v>0.5714285714285714</v>
      </c>
      <c r="N22" s="332"/>
      <c r="O22" s="332">
        <f>IF(M4=2,1,0)</f>
        <v>0</v>
      </c>
      <c r="P22" s="332">
        <f>IF(M5=2,1,0)</f>
        <v>0</v>
      </c>
      <c r="Q22" s="332"/>
      <c r="T22" s="321"/>
    </row>
    <row r="23" spans="1:24" ht="20.100000000000001" customHeight="1" thickBot="1">
      <c r="A23" s="320"/>
      <c r="H23" s="332"/>
      <c r="J23" s="320"/>
      <c r="L23" s="261" t="s">
        <v>327</v>
      </c>
      <c r="M23" s="357">
        <v>0.5714285714285714</v>
      </c>
      <c r="N23" s="332"/>
      <c r="O23" s="332">
        <f>IF(M4=1,1,0)</f>
        <v>0</v>
      </c>
      <c r="P23" s="332">
        <f>IF(M5=1,1,0)</f>
        <v>0</v>
      </c>
      <c r="Q23" s="332"/>
      <c r="R23" s="331"/>
      <c r="T23" s="321"/>
    </row>
    <row r="24" spans="1:24" ht="20.100000000000001" customHeight="1">
      <c r="A24" s="320"/>
      <c r="B24" s="745" t="s">
        <v>342</v>
      </c>
      <c r="D24" s="750" t="s">
        <v>342</v>
      </c>
      <c r="E24" s="364"/>
      <c r="G24" s="265"/>
      <c r="H24" s="331"/>
      <c r="J24" s="320"/>
      <c r="L24" s="261" t="s">
        <v>328</v>
      </c>
      <c r="M24" s="357">
        <v>0.5714285714285714</v>
      </c>
      <c r="N24" s="332">
        <f>IF(M3=3,1,0)</f>
        <v>0</v>
      </c>
      <c r="O24" s="332">
        <f>IF(M4=4,1,0)</f>
        <v>0</v>
      </c>
      <c r="P24" s="332">
        <f>IF(M5=4,1,0)</f>
        <v>0</v>
      </c>
      <c r="Q24" s="332">
        <f>IF(M6=3,1,0)</f>
        <v>0</v>
      </c>
      <c r="R24" s="331"/>
      <c r="T24" s="321"/>
    </row>
    <row r="25" spans="1:24" ht="20.100000000000001" customHeight="1" thickBot="1">
      <c r="A25" s="320"/>
      <c r="B25" s="325" t="s">
        <v>346</v>
      </c>
      <c r="D25" s="365" t="s">
        <v>362</v>
      </c>
      <c r="E25" s="366"/>
      <c r="G25" s="265"/>
      <c r="J25" s="320"/>
      <c r="L25" s="261" t="s">
        <v>329</v>
      </c>
      <c r="M25" s="357">
        <v>1.1428571428571428</v>
      </c>
      <c r="N25" s="332">
        <f>IF(M3=1,1,0)</f>
        <v>0</v>
      </c>
      <c r="O25" s="332">
        <f>IF(M4=1,1,0)</f>
        <v>0</v>
      </c>
      <c r="P25" s="332">
        <f>IF(M5=1,1,0)</f>
        <v>0</v>
      </c>
      <c r="Q25" s="332">
        <f>IF(M6=1,1,0)</f>
        <v>0</v>
      </c>
      <c r="R25" s="331"/>
      <c r="S25" s="331"/>
      <c r="T25" s="321"/>
    </row>
    <row r="26" spans="1:24" ht="20.100000000000001" customHeight="1" thickBot="1">
      <c r="A26" s="323"/>
      <c r="B26" s="367"/>
      <c r="C26" s="315"/>
      <c r="D26" s="315"/>
      <c r="E26" s="315"/>
      <c r="F26" s="315"/>
      <c r="G26" s="315"/>
      <c r="H26" s="314"/>
      <c r="I26" s="314"/>
      <c r="J26" s="320"/>
      <c r="L26" s="314" t="s">
        <v>563</v>
      </c>
      <c r="M26" s="359">
        <v>1.1428571428571428</v>
      </c>
      <c r="N26" s="338"/>
      <c r="O26" s="338">
        <f>IF(M4=3,1,IF(M4=4,1,0))</f>
        <v>0</v>
      </c>
      <c r="P26" s="338">
        <f>IF(M5=3,1,IF(M5=4,1,0))</f>
        <v>0</v>
      </c>
      <c r="Q26" s="338"/>
      <c r="R26" s="331"/>
      <c r="S26" s="331"/>
      <c r="T26" s="321"/>
    </row>
    <row r="27" spans="1:24" ht="20.100000000000001" customHeight="1" thickBot="1">
      <c r="C27" s="261"/>
      <c r="D27" s="261"/>
      <c r="J27" s="320"/>
      <c r="L27" s="410" t="s">
        <v>393</v>
      </c>
      <c r="M27" s="360"/>
      <c r="N27" s="411">
        <f>SUMPRODUCT($D$12:$D$13,N18:N19,$G$12:$G$13)+SUMPRODUCT($D$15:$D$20,N21:N26,$G$15:$G$20)+$D$14*($D$9/200)*N20*$G$14</f>
        <v>0</v>
      </c>
      <c r="O27" s="412">
        <f t="shared" ref="O27:Q27" si="4">SUMPRODUCT($D$12:$D$13,O18:O19,$G$12:$G$13)+SUMPRODUCT($D$15:$D$20,O21:O26,$G$15:$G$20)+$D$14*($D$9/200)*O20*$G$14</f>
        <v>0</v>
      </c>
      <c r="P27" s="412">
        <f t="shared" si="4"/>
        <v>0</v>
      </c>
      <c r="Q27" s="413">
        <f t="shared" si="4"/>
        <v>0</v>
      </c>
      <c r="R27" s="331"/>
      <c r="S27" s="331"/>
      <c r="T27" s="321"/>
    </row>
    <row r="28" spans="1:24" ht="20.100000000000001" customHeight="1" thickBot="1">
      <c r="C28" s="261"/>
      <c r="D28" s="261"/>
      <c r="H28" s="767"/>
      <c r="J28" s="323"/>
      <c r="K28" s="314"/>
      <c r="L28" s="314"/>
      <c r="M28" s="314"/>
      <c r="N28" s="314"/>
      <c r="O28" s="314"/>
      <c r="P28" s="314"/>
      <c r="Q28" s="314"/>
      <c r="R28" s="316"/>
      <c r="S28" s="316"/>
      <c r="T28" s="324"/>
    </row>
    <row r="29" spans="1:24" ht="12.75" customHeight="1">
      <c r="B29" s="583" t="s">
        <v>564</v>
      </c>
      <c r="C29" s="584" t="s">
        <v>536</v>
      </c>
      <c r="D29" s="585" t="s">
        <v>539</v>
      </c>
      <c r="R29" s="331"/>
      <c r="S29" s="331"/>
    </row>
    <row r="30" spans="1:24" ht="12.75" customHeight="1">
      <c r="B30" s="586" t="s">
        <v>561</v>
      </c>
      <c r="C30" s="772">
        <v>1</v>
      </c>
      <c r="D30" s="587">
        <v>11518.293750000001</v>
      </c>
      <c r="E30" s="593"/>
    </row>
    <row r="31" spans="1:24" ht="12.75" customHeight="1">
      <c r="B31" s="590" t="s">
        <v>562</v>
      </c>
      <c r="C31" s="773">
        <v>1</v>
      </c>
      <c r="D31" s="591"/>
      <c r="E31" s="593"/>
    </row>
    <row r="32" spans="1:24" ht="12.75" customHeight="1">
      <c r="B32" s="592"/>
      <c r="C32" s="593"/>
      <c r="D32" s="593"/>
      <c r="E32" s="593"/>
    </row>
    <row r="33" spans="2:5" ht="18.75">
      <c r="B33" s="583" t="s">
        <v>560</v>
      </c>
      <c r="C33" s="584" t="s">
        <v>536</v>
      </c>
      <c r="D33" s="585" t="str">
        <f>D29</f>
        <v>CRC/Und</v>
      </c>
      <c r="E33" s="593"/>
    </row>
    <row r="34" spans="2:5" ht="12.75" customHeight="1">
      <c r="B34" s="586" t="s">
        <v>537</v>
      </c>
      <c r="C34" s="772">
        <v>2</v>
      </c>
      <c r="D34" s="587">
        <v>8767.1585185185177</v>
      </c>
    </row>
    <row r="35" spans="2:5" ht="12.75" customHeight="1">
      <c r="B35" s="588" t="s">
        <v>558</v>
      </c>
      <c r="C35" s="774">
        <v>1.5</v>
      </c>
      <c r="D35" s="589">
        <v>10582.755555555554</v>
      </c>
    </row>
    <row r="36" spans="2:5" ht="12.75" customHeight="1">
      <c r="B36" s="588" t="s">
        <v>559</v>
      </c>
      <c r="C36" s="774">
        <v>1</v>
      </c>
      <c r="D36" s="589">
        <v>8862.6712499999994</v>
      </c>
      <c r="E36" s="593"/>
    </row>
    <row r="37" spans="2:5" ht="12.75" customHeight="1">
      <c r="B37" s="590" t="s">
        <v>538</v>
      </c>
      <c r="C37" s="773">
        <v>0.75</v>
      </c>
      <c r="D37" s="591">
        <v>14136.01</v>
      </c>
      <c r="E37" s="593"/>
    </row>
    <row r="38" spans="2:5" ht="12.75" customHeight="1">
      <c r="B38" s="592"/>
      <c r="C38" s="593"/>
      <c r="D38" s="593"/>
      <c r="E38" s="593"/>
    </row>
    <row r="39" spans="2:5" ht="12.75" customHeight="1">
      <c r="B39" s="583" t="s">
        <v>418</v>
      </c>
      <c r="C39" s="584" t="s">
        <v>318</v>
      </c>
      <c r="D39" s="585" t="s">
        <v>115</v>
      </c>
      <c r="E39" s="593"/>
    </row>
    <row r="40" spans="2:5" ht="18.75">
      <c r="B40" s="586" t="s">
        <v>409</v>
      </c>
      <c r="C40" s="594" t="s">
        <v>419</v>
      </c>
      <c r="D40" s="587">
        <v>28065.875</v>
      </c>
      <c r="E40" s="788">
        <f>AVERAGE(0.06,0.12)</f>
        <v>0.09</v>
      </c>
    </row>
    <row r="41" spans="2:5" ht="12.75" customHeight="1">
      <c r="B41" s="588" t="s">
        <v>410</v>
      </c>
      <c r="C41" s="595">
        <v>200</v>
      </c>
      <c r="D41" s="589">
        <v>5641.6445454545456</v>
      </c>
      <c r="E41" s="788">
        <v>0.2</v>
      </c>
    </row>
    <row r="42" spans="2:5" ht="12.75" customHeight="1">
      <c r="B42" s="588" t="s">
        <v>411</v>
      </c>
      <c r="C42" s="595">
        <v>100</v>
      </c>
      <c r="D42" s="589"/>
      <c r="E42" s="788">
        <v>0.1</v>
      </c>
    </row>
    <row r="43" spans="2:5" ht="12.75" customHeight="1">
      <c r="B43" s="588" t="s">
        <v>412</v>
      </c>
      <c r="C43" s="595" t="s">
        <v>566</v>
      </c>
      <c r="D43" s="589">
        <v>6695.2133333333331</v>
      </c>
      <c r="E43" s="788">
        <f>AVERAGE(0.2,0.3)</f>
        <v>0.25</v>
      </c>
    </row>
    <row r="44" spans="2:5" ht="12.75" customHeight="1">
      <c r="B44" s="590" t="s">
        <v>413</v>
      </c>
      <c r="C44" s="596" t="s">
        <v>420</v>
      </c>
      <c r="D44" s="591">
        <v>4923.6049999999996</v>
      </c>
      <c r="E44" s="788">
        <f>AVERAGE(0.125,0.4)</f>
        <v>0.26250000000000001</v>
      </c>
    </row>
    <row r="45" spans="2:5" ht="12.75" customHeight="1">
      <c r="B45" s="592"/>
      <c r="C45" s="597" t="s">
        <v>421</v>
      </c>
      <c r="D45" s="593"/>
      <c r="E45" s="518"/>
    </row>
    <row r="46" spans="2:5" ht="12.75" customHeight="1">
      <c r="E46" s="518">
        <f>AVERAGE(300,500)/1000</f>
        <v>0.4</v>
      </c>
    </row>
    <row r="47" spans="2:5" ht="12.75" customHeight="1"/>
  </sheetData>
  <sheetProtection algorithmName="SHA-512" hashValue="izk0iEHNMUyIosqMKfe53a3k432JMVrXgGWb0O4s/+v/K7mJ/XWldgr5xoMnBUhgc8srmMcyf7uGHAjgIcu+PA==" saltValue="Z/As58n5eRw6rGcYDfPtYw==" spinCount="100000" sheet="1" objects="1" scenarios="1"/>
  <sortState xmlns:xlrd2="http://schemas.microsoft.com/office/spreadsheetml/2017/richdata2" ref="B40:D44">
    <sortCondition ref="B40:B44"/>
  </sortState>
  <conditionalFormatting sqref="N18:Q26">
    <cfRule type="cellIs" dxfId="17" priority="2" operator="equal">
      <formula>1</formula>
    </cfRule>
  </conditionalFormatting>
  <dataValidations count="4">
    <dataValidation type="whole" allowBlank="1" showInputMessage="1" showErrorMessage="1" error="Solo permite números enteros entre 0 y 3." sqref="M6 M3" xr:uid="{A7176F22-789F-4CA2-99F4-74E1836760D9}">
      <formula1>0</formula1>
      <formula2>3</formula2>
    </dataValidation>
    <dataValidation type="whole" allowBlank="1" showInputMessage="1" showErrorMessage="1" error="Solo permite números enteros entre 0 y 4." sqref="M4:M5" xr:uid="{D3D12526-F3F5-4F20-966B-C46D1ED8AB6D}">
      <formula1>0</formula1>
      <formula2>4</formula2>
    </dataValidation>
    <dataValidation type="decimal" allowBlank="1" showInputMessage="1" showErrorMessage="1" error="Esta estructura de costo es para Asistencia de Cultivo en Producción, puede digitar un número entre 500 y 700 Litros, acepta decimales." sqref="D9" xr:uid="{0065CFAC-0E59-4301-BD49-A4B37848E168}">
      <formula1>500</formula1>
      <formula2>700</formula2>
    </dataValidation>
    <dataValidation type="decimal" operator="greaterThanOrEqual" allowBlank="1" showInputMessage="1" showErrorMessage="1" error="Debe digitar un número, permite incluir decimales." sqref="G12:G20" xr:uid="{593EE03E-ECCE-4BD4-B962-A2208B1DB1BC}">
      <formula1>0</formula1>
    </dataValidation>
  </dataValidations>
  <hyperlinks>
    <hyperlink ref="B24" r:id="rId1" xr:uid="{A10D1CA3-4189-481E-B132-98670B98DA0D}"/>
    <hyperlink ref="D24" r:id="rId2" xr:uid="{93E2796A-CB59-4883-B527-4D877189DA0F}"/>
  </hyperlinks>
  <printOptions horizontalCentered="1" verticalCentered="1"/>
  <pageMargins left="0.51181102362204722" right="0.51181102362204722" top="0.55118110236220474" bottom="0.55118110236220474" header="0.31496062992125984" footer="0.31496062992125984"/>
  <pageSetup scale="85" orientation="landscape" r:id="rId3"/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064D-3B83-4F5D-B7A7-20EFE9220390}">
  <sheetPr>
    <tabColor rgb="FFEBECC4"/>
  </sheetPr>
  <dimension ref="A1:AJ29"/>
  <sheetViews>
    <sheetView showGridLines="0" workbookViewId="0">
      <pane ySplit="2" topLeftCell="A3" activePane="bottomLeft" state="frozen"/>
      <selection activeCell="C5" sqref="C5:D6"/>
      <selection pane="bottomLeft" activeCell="AA21" sqref="AA21"/>
    </sheetView>
  </sheetViews>
  <sheetFormatPr baseColWidth="10" defaultColWidth="10.7109375" defaultRowHeight="20.100000000000001" customHeight="1"/>
  <cols>
    <col min="1" max="1" width="3.140625" style="261" customWidth="1"/>
    <col min="2" max="2" width="18.42578125" style="261" customWidth="1"/>
    <col min="3" max="7" width="9.28515625" style="261" customWidth="1"/>
    <col min="8" max="9" width="3.140625" style="261" customWidth="1"/>
    <col min="10" max="10" width="16.42578125" style="261" customWidth="1"/>
    <col min="11" max="14" width="9.28515625" style="261" customWidth="1"/>
    <col min="15" max="16" width="3.140625" style="261" customWidth="1"/>
    <col min="17" max="17" width="16.42578125" style="261" customWidth="1"/>
    <col min="18" max="21" width="9.28515625" style="261" customWidth="1"/>
    <col min="22" max="23" width="3.140625" style="261" customWidth="1"/>
    <col min="24" max="24" width="19.28515625" style="261" customWidth="1"/>
    <col min="25" max="27" width="10.7109375" style="261"/>
    <col min="28" max="28" width="12.85546875" style="261" bestFit="1" customWidth="1"/>
    <col min="29" max="30" width="3.140625" style="261" customWidth="1"/>
    <col min="31" max="31" width="23.42578125" style="261" customWidth="1"/>
    <col min="32" max="32" width="12.42578125" style="261" customWidth="1"/>
    <col min="33" max="33" width="12.85546875" style="261" bestFit="1" customWidth="1"/>
    <col min="34" max="34" width="13.7109375" style="261" bestFit="1" customWidth="1"/>
    <col min="35" max="35" width="17" style="261" bestFit="1" customWidth="1"/>
    <col min="36" max="36" width="3.140625" style="261" customWidth="1"/>
    <col min="37" max="16384" width="10.7109375" style="261"/>
  </cols>
  <sheetData>
    <row r="1" spans="1:36" ht="20.100000000000001" customHeight="1" thickBot="1">
      <c r="A1" s="317"/>
      <c r="B1" s="318"/>
      <c r="C1" s="318"/>
      <c r="D1" s="318"/>
      <c r="E1" s="318"/>
      <c r="F1" s="318"/>
      <c r="G1" s="318"/>
      <c r="H1" s="319"/>
      <c r="I1" s="318"/>
      <c r="J1" s="318"/>
      <c r="K1" s="318"/>
      <c r="L1" s="318"/>
      <c r="M1" s="318"/>
      <c r="N1" s="318"/>
      <c r="O1" s="319"/>
      <c r="P1" s="317"/>
      <c r="Q1" s="318"/>
      <c r="R1" s="318"/>
      <c r="S1" s="318"/>
      <c r="T1" s="318"/>
      <c r="U1" s="318"/>
      <c r="V1" s="318"/>
      <c r="W1" s="317"/>
      <c r="X1" s="318"/>
      <c r="Y1" s="318"/>
      <c r="Z1" s="318"/>
      <c r="AA1" s="318"/>
      <c r="AB1" s="318"/>
      <c r="AC1" s="318"/>
      <c r="AD1" s="317"/>
      <c r="AE1" s="318"/>
      <c r="AF1" s="318"/>
      <c r="AG1" s="318"/>
      <c r="AH1" s="318"/>
      <c r="AI1" s="318"/>
      <c r="AJ1" s="319"/>
    </row>
    <row r="2" spans="1:36" ht="20.100000000000001" customHeight="1" thickBot="1">
      <c r="A2" s="320"/>
      <c r="B2" s="269" t="s">
        <v>287</v>
      </c>
      <c r="C2" s="270"/>
      <c r="D2" s="270"/>
      <c r="E2" s="270"/>
      <c r="F2" s="270"/>
      <c r="G2" s="271"/>
      <c r="H2" s="321"/>
      <c r="J2" s="269" t="s">
        <v>293</v>
      </c>
      <c r="K2" s="270"/>
      <c r="L2" s="270"/>
      <c r="M2" s="270"/>
      <c r="N2" s="271"/>
      <c r="O2" s="321"/>
      <c r="P2" s="320"/>
      <c r="Q2" s="269" t="s">
        <v>297</v>
      </c>
      <c r="R2" s="270"/>
      <c r="S2" s="270"/>
      <c r="T2" s="270"/>
      <c r="U2" s="271"/>
      <c r="W2" s="320"/>
      <c r="X2" s="269" t="s">
        <v>352</v>
      </c>
      <c r="Y2" s="270"/>
      <c r="Z2" s="270"/>
      <c r="AA2" s="270"/>
      <c r="AB2" s="271"/>
      <c r="AD2" s="320"/>
      <c r="AE2" s="269" t="s">
        <v>361</v>
      </c>
      <c r="AF2" s="270"/>
      <c r="AG2" s="270"/>
      <c r="AH2" s="270"/>
      <c r="AI2" s="271"/>
      <c r="AJ2" s="321"/>
    </row>
    <row r="3" spans="1:36" ht="20.100000000000001" customHeight="1">
      <c r="A3" s="320"/>
      <c r="H3" s="321"/>
      <c r="O3" s="321"/>
      <c r="P3" s="320"/>
      <c r="W3" s="320"/>
      <c r="AD3" s="320"/>
      <c r="AJ3" s="321"/>
    </row>
    <row r="4" spans="1:36" ht="20.100000000000001" customHeight="1">
      <c r="A4" s="320"/>
      <c r="B4" s="262" t="s">
        <v>281</v>
      </c>
      <c r="C4" s="738">
        <v>2</v>
      </c>
      <c r="D4" s="263" t="str">
        <f>IF(C4=1,"Selectiva",IF(C4=2,"Cíclica/Lote *","Combinación"))</f>
        <v>Cíclica/Lote *</v>
      </c>
      <c r="E4" s="264"/>
      <c r="H4" s="321"/>
      <c r="J4" s="278" t="s">
        <v>290</v>
      </c>
      <c r="K4" s="738">
        <v>2</v>
      </c>
      <c r="O4" s="321"/>
      <c r="P4" s="320"/>
      <c r="Q4" s="278" t="s">
        <v>290</v>
      </c>
      <c r="R4" s="738">
        <v>2</v>
      </c>
      <c r="W4" s="320"/>
      <c r="X4" s="278" t="s">
        <v>290</v>
      </c>
      <c r="Y4" s="738">
        <v>1</v>
      </c>
      <c r="AD4" s="320"/>
      <c r="AG4" s="742" t="s">
        <v>373</v>
      </c>
      <c r="AI4" s="743" t="s">
        <v>303</v>
      </c>
      <c r="AJ4" s="321"/>
    </row>
    <row r="5" spans="1:36" ht="20.100000000000001" customHeight="1">
      <c r="A5" s="320"/>
      <c r="B5" s="262" t="s">
        <v>282</v>
      </c>
      <c r="C5" s="738">
        <v>1</v>
      </c>
      <c r="D5" s="263" t="str">
        <f>IF(C5=1,"Manual",IF(C5=2,"Mecánico","Combinanción"))</f>
        <v>Manual</v>
      </c>
      <c r="E5" s="264"/>
      <c r="H5" s="321"/>
      <c r="J5" s="279" t="s">
        <v>291</v>
      </c>
      <c r="K5" s="756" t="s">
        <v>255</v>
      </c>
      <c r="O5" s="321"/>
      <c r="P5" s="320"/>
      <c r="Q5" s="279" t="s">
        <v>294</v>
      </c>
      <c r="R5" s="757" t="str">
        <f>IF(R4=1,"a",IF(R4=2,"b","c"))</f>
        <v>b</v>
      </c>
      <c r="W5" s="320"/>
      <c r="X5" s="279" t="s">
        <v>354</v>
      </c>
      <c r="Y5" s="756" t="str">
        <f>IF(Y4=1,"a",IF(Y4=2,"b","c"))</f>
        <v>a</v>
      </c>
      <c r="AD5" s="320"/>
      <c r="AF5" s="277" t="s">
        <v>254</v>
      </c>
      <c r="AG5" s="283">
        <v>9.3208216866788973</v>
      </c>
      <c r="AH5" s="305" t="s">
        <v>147</v>
      </c>
      <c r="AI5" s="281">
        <f>AG5+AG6*(AG10*AF10/200)+AG7*POWER((AG10*AF10/200),2)</f>
        <v>41.582889436584566</v>
      </c>
      <c r="AJ5" s="321"/>
    </row>
    <row r="6" spans="1:36" ht="20.100000000000001" customHeight="1">
      <c r="A6" s="320"/>
      <c r="C6" s="784" t="str">
        <f>_xlfn.CONCAT(C4,C5)</f>
        <v>21</v>
      </c>
      <c r="H6" s="321"/>
      <c r="O6" s="321"/>
      <c r="P6" s="320"/>
      <c r="W6" s="320"/>
      <c r="AD6" s="320"/>
      <c r="AF6" s="277" t="s">
        <v>255</v>
      </c>
      <c r="AG6" s="283">
        <v>5.3866466914434028</v>
      </c>
      <c r="AJ6" s="321"/>
    </row>
    <row r="7" spans="1:36" ht="20.100000000000001" customHeight="1" thickBot="1">
      <c r="A7" s="320"/>
      <c r="C7" s="265"/>
      <c r="H7" s="321"/>
      <c r="O7" s="321"/>
      <c r="P7" s="320"/>
      <c r="W7" s="320"/>
      <c r="AD7" s="320"/>
      <c r="AF7" s="277" t="s">
        <v>256</v>
      </c>
      <c r="AG7" s="283">
        <v>0.25255658662959968</v>
      </c>
      <c r="AJ7" s="321"/>
    </row>
    <row r="8" spans="1:36" ht="20.100000000000001" customHeight="1" thickBot="1">
      <c r="A8" s="320"/>
      <c r="B8" s="275" t="s">
        <v>280</v>
      </c>
      <c r="C8" s="274" t="s">
        <v>283</v>
      </c>
      <c r="D8" s="272" t="s">
        <v>284</v>
      </c>
      <c r="E8" s="272" t="s">
        <v>285</v>
      </c>
      <c r="F8" s="291" t="s">
        <v>286</v>
      </c>
      <c r="G8" s="294" t="s">
        <v>315</v>
      </c>
      <c r="H8" s="321"/>
      <c r="J8" s="275" t="s">
        <v>280</v>
      </c>
      <c r="K8" s="273" t="s">
        <v>254</v>
      </c>
      <c r="L8" s="276" t="s">
        <v>255</v>
      </c>
      <c r="M8" s="273" t="s">
        <v>256</v>
      </c>
      <c r="N8" s="299" t="s">
        <v>315</v>
      </c>
      <c r="O8" s="321"/>
      <c r="P8" s="320"/>
      <c r="Q8" s="275" t="s">
        <v>280</v>
      </c>
      <c r="R8" s="273" t="s">
        <v>254</v>
      </c>
      <c r="S8" s="276" t="s">
        <v>255</v>
      </c>
      <c r="T8" s="302" t="s">
        <v>256</v>
      </c>
      <c r="U8" s="299" t="s">
        <v>315</v>
      </c>
      <c r="W8" s="320"/>
      <c r="X8" s="275" t="s">
        <v>280</v>
      </c>
      <c r="Y8" s="273" t="s">
        <v>254</v>
      </c>
      <c r="Z8" s="276" t="s">
        <v>255</v>
      </c>
      <c r="AA8" s="273" t="s">
        <v>256</v>
      </c>
      <c r="AB8" s="299" t="s">
        <v>315</v>
      </c>
      <c r="AD8" s="320"/>
      <c r="AJ8" s="321"/>
    </row>
    <row r="9" spans="1:36" ht="20.100000000000001" customHeight="1" thickBot="1">
      <c r="A9" s="320"/>
      <c r="B9" s="261" t="s">
        <v>277</v>
      </c>
      <c r="C9" s="265">
        <v>65</v>
      </c>
      <c r="D9" s="265">
        <v>14</v>
      </c>
      <c r="E9" s="265">
        <v>24</v>
      </c>
      <c r="F9" s="265">
        <v>24</v>
      </c>
      <c r="G9" s="295">
        <f>SUM(C9:F9)</f>
        <v>127</v>
      </c>
      <c r="H9" s="321"/>
      <c r="J9" s="261" t="s">
        <v>288</v>
      </c>
      <c r="K9" s="265">
        <v>1</v>
      </c>
      <c r="L9" s="265">
        <v>2</v>
      </c>
      <c r="M9" s="328">
        <v>3.1111111111111112</v>
      </c>
      <c r="N9" s="300">
        <v>1.5047619047619047</v>
      </c>
      <c r="O9" s="321"/>
      <c r="P9" s="320"/>
      <c r="Q9" s="261" t="s">
        <v>295</v>
      </c>
      <c r="R9" s="265">
        <v>1</v>
      </c>
      <c r="S9" s="329">
        <v>2</v>
      </c>
      <c r="T9" s="328">
        <v>3.0666666666666669</v>
      </c>
      <c r="U9" s="300">
        <v>1.7373737373737375</v>
      </c>
      <c r="W9" s="320"/>
      <c r="X9" s="261" t="s">
        <v>353</v>
      </c>
      <c r="Y9" s="265">
        <v>1</v>
      </c>
      <c r="Z9" s="265">
        <v>2</v>
      </c>
      <c r="AA9" s="328">
        <v>3.40625</v>
      </c>
      <c r="AB9" s="300">
        <v>2.2244897959183674</v>
      </c>
      <c r="AD9" s="320"/>
      <c r="AE9" s="306" t="s">
        <v>107</v>
      </c>
      <c r="AF9" s="307" t="s">
        <v>332</v>
      </c>
      <c r="AG9" s="308" t="s">
        <v>333</v>
      </c>
      <c r="AH9" s="308" t="s">
        <v>334</v>
      </c>
      <c r="AI9" s="309" t="s">
        <v>147</v>
      </c>
      <c r="AJ9" s="321"/>
    </row>
    <row r="10" spans="1:36" ht="20.100000000000001" customHeight="1">
      <c r="A10" s="320"/>
      <c r="B10" s="261" t="s">
        <v>278</v>
      </c>
      <c r="C10" s="329">
        <v>100.59811000000001</v>
      </c>
      <c r="D10" s="329">
        <v>35.248439999999995</v>
      </c>
      <c r="E10" s="329">
        <v>47.830699999999993</v>
      </c>
      <c r="F10" s="329">
        <v>41.434554293483181</v>
      </c>
      <c r="G10" s="296">
        <f>SUM(C10:F10)</f>
        <v>225.1118042934832</v>
      </c>
      <c r="H10" s="321"/>
      <c r="J10" s="261" t="s">
        <v>277</v>
      </c>
      <c r="K10" s="265">
        <v>62</v>
      </c>
      <c r="L10" s="265">
        <v>34</v>
      </c>
      <c r="M10" s="265">
        <v>9</v>
      </c>
      <c r="N10" s="295">
        <f>SUM(K10:M10)</f>
        <v>105</v>
      </c>
      <c r="O10" s="321"/>
      <c r="P10" s="320"/>
      <c r="Q10" s="261" t="s">
        <v>277</v>
      </c>
      <c r="R10" s="265">
        <v>42</v>
      </c>
      <c r="S10" s="265">
        <v>42</v>
      </c>
      <c r="T10" s="265">
        <v>15</v>
      </c>
      <c r="U10" s="295">
        <f>SUM(R10:T10)</f>
        <v>99</v>
      </c>
      <c r="W10" s="320"/>
      <c r="X10" s="261" t="s">
        <v>277</v>
      </c>
      <c r="Y10" s="265">
        <v>23</v>
      </c>
      <c r="Z10" s="265">
        <v>43</v>
      </c>
      <c r="AA10" s="265">
        <v>32</v>
      </c>
      <c r="AB10" s="295">
        <v>98</v>
      </c>
      <c r="AD10" s="320"/>
      <c r="AE10" s="261" t="s">
        <v>359</v>
      </c>
      <c r="AF10" s="265">
        <v>3</v>
      </c>
      <c r="AG10" s="265">
        <f>AVERAGE(300,350)</f>
        <v>325</v>
      </c>
      <c r="AH10" s="328">
        <f>AI10/(AF10*(AG10/200))</f>
        <v>8.5298234741711934</v>
      </c>
      <c r="AI10" s="328">
        <f>AI5</f>
        <v>41.582889436584566</v>
      </c>
      <c r="AJ10" s="321"/>
    </row>
    <row r="11" spans="1:36" ht="20.100000000000001" customHeight="1" thickBot="1">
      <c r="A11" s="320"/>
      <c r="B11" s="261" t="s">
        <v>279</v>
      </c>
      <c r="C11" s="329">
        <v>535.5557</v>
      </c>
      <c r="D11" s="329">
        <v>159.70680000000002</v>
      </c>
      <c r="E11" s="329">
        <v>237.26700000000002</v>
      </c>
      <c r="F11" s="329">
        <v>215.64375000000001</v>
      </c>
      <c r="G11" s="296">
        <f>SUM(C11:F11)</f>
        <v>1148.1732500000001</v>
      </c>
      <c r="H11" s="321"/>
      <c r="J11" s="417" t="s">
        <v>289</v>
      </c>
      <c r="K11" s="281">
        <v>34.177821017995072</v>
      </c>
      <c r="L11" s="421">
        <v>48.283271260775194</v>
      </c>
      <c r="M11" s="292">
        <v>60.766300808641127</v>
      </c>
      <c r="N11" s="297">
        <v>41.024312697712574</v>
      </c>
      <c r="O11" s="321"/>
      <c r="P11" s="320"/>
      <c r="Q11" s="417" t="s">
        <v>289</v>
      </c>
      <c r="R11" s="281">
        <v>34.717544732340649</v>
      </c>
      <c r="S11" s="281">
        <v>46.162622474316812</v>
      </c>
      <c r="T11" s="292">
        <v>64.400634920634914</v>
      </c>
      <c r="U11" s="422">
        <v>44.070470166556952</v>
      </c>
      <c r="W11" s="320"/>
      <c r="X11" s="417" t="s">
        <v>289</v>
      </c>
      <c r="Y11" s="421">
        <v>26.66927571205132</v>
      </c>
      <c r="Z11" s="281">
        <v>47.271469953894098</v>
      </c>
      <c r="AA11" s="292">
        <v>85.435420101344533</v>
      </c>
      <c r="AB11" s="297">
        <v>54.897959108547468</v>
      </c>
      <c r="AD11" s="320"/>
      <c r="AJ11" s="321"/>
    </row>
    <row r="12" spans="1:36" ht="20.100000000000001" customHeight="1" thickBot="1">
      <c r="A12" s="320"/>
      <c r="B12" s="313" t="s">
        <v>289</v>
      </c>
      <c r="C12" s="281">
        <v>38.521146699329279</v>
      </c>
      <c r="D12" s="281">
        <v>27.687762629765452</v>
      </c>
      <c r="E12" s="420">
        <v>27.87545281873922</v>
      </c>
      <c r="F12" s="420">
        <v>21.527166225478563</v>
      </c>
      <c r="G12" s="297">
        <v>33.315980226969437</v>
      </c>
      <c r="H12" s="321"/>
      <c r="J12" s="261" t="s">
        <v>292</v>
      </c>
      <c r="K12" s="304">
        <f>K11/K9</f>
        <v>34.177821017995072</v>
      </c>
      <c r="L12" s="304">
        <f>L11/L9</f>
        <v>24.141635630387597</v>
      </c>
      <c r="M12" s="304">
        <f>M11/M9</f>
        <v>19.532025259920363</v>
      </c>
      <c r="N12" s="301">
        <f>N11/N9</f>
        <v>27.262992615568482</v>
      </c>
      <c r="O12" s="321"/>
      <c r="P12" s="320"/>
      <c r="Q12" s="261" t="s">
        <v>296</v>
      </c>
      <c r="R12" s="304">
        <f>R11/R9</f>
        <v>34.717544732340649</v>
      </c>
      <c r="S12" s="304">
        <f>S11/S9</f>
        <v>23.081311237158406</v>
      </c>
      <c r="T12" s="304">
        <f>T11/T9</f>
        <v>21.000207039337472</v>
      </c>
      <c r="U12" s="301">
        <f>U11/U9</f>
        <v>25.36614271214615</v>
      </c>
      <c r="W12" s="320"/>
      <c r="X12" s="261" t="s">
        <v>356</v>
      </c>
      <c r="Y12" s="304">
        <f>Y11/Y9</f>
        <v>26.66927571205132</v>
      </c>
      <c r="Z12" s="304">
        <f>Z11/Z9</f>
        <v>23.635734976947049</v>
      </c>
      <c r="AA12" s="304">
        <f>AA11/AA9</f>
        <v>25.081958194890138</v>
      </c>
      <c r="AB12" s="301">
        <f>AB11/AB9</f>
        <v>24.678899048796566</v>
      </c>
      <c r="AD12" s="320"/>
      <c r="AE12" s="306" t="s">
        <v>317</v>
      </c>
      <c r="AF12" s="308" t="s">
        <v>302</v>
      </c>
      <c r="AG12" s="308" t="s">
        <v>318</v>
      </c>
      <c r="AH12" s="310" t="s">
        <v>319</v>
      </c>
      <c r="AI12" s="311" t="s">
        <v>320</v>
      </c>
      <c r="AJ12" s="321"/>
    </row>
    <row r="13" spans="1:36" ht="20.100000000000001" customHeight="1" thickBot="1">
      <c r="A13" s="320"/>
      <c r="B13" s="262" t="s">
        <v>0</v>
      </c>
      <c r="C13" s="266">
        <f>C10/C11</f>
        <v>0.18783874394390723</v>
      </c>
      <c r="D13" s="266">
        <f t="shared" ref="D13:G13" si="0">D10/D11</f>
        <v>0.22070719593655369</v>
      </c>
      <c r="E13" s="266">
        <f t="shared" si="0"/>
        <v>0.2015901916406411</v>
      </c>
      <c r="F13" s="293">
        <f t="shared" si="0"/>
        <v>0.19214354366163258</v>
      </c>
      <c r="G13" s="298">
        <f t="shared" si="0"/>
        <v>0.1960608334094904</v>
      </c>
      <c r="H13" s="321"/>
      <c r="O13" s="321"/>
      <c r="P13" s="320"/>
      <c r="W13" s="320"/>
      <c r="AD13" s="320"/>
      <c r="AE13" s="261" t="s">
        <v>360</v>
      </c>
      <c r="AF13" s="265" t="s">
        <v>324</v>
      </c>
      <c r="AG13" s="332">
        <v>2</v>
      </c>
      <c r="AH13" s="265">
        <f>AF10</f>
        <v>3</v>
      </c>
      <c r="AI13" s="332">
        <f>AG13*AH13</f>
        <v>6</v>
      </c>
      <c r="AJ13" s="321"/>
    </row>
    <row r="14" spans="1:36" ht="20.100000000000001" customHeight="1" thickBot="1">
      <c r="A14" s="320"/>
      <c r="B14" s="785" t="s">
        <v>316</v>
      </c>
      <c r="H14" s="321"/>
      <c r="J14" s="745" t="s">
        <v>342</v>
      </c>
      <c r="O14" s="321"/>
      <c r="P14" s="320"/>
      <c r="Q14" s="745" t="s">
        <v>342</v>
      </c>
      <c r="W14" s="320"/>
      <c r="X14" s="745" t="s">
        <v>342</v>
      </c>
      <c r="Z14" s="418" t="s">
        <v>355</v>
      </c>
      <c r="AA14" s="418"/>
      <c r="AB14" s="419" t="s">
        <v>356</v>
      </c>
      <c r="AD14" s="320"/>
      <c r="AE14" s="314" t="s">
        <v>325</v>
      </c>
      <c r="AF14" s="315" t="s">
        <v>324</v>
      </c>
      <c r="AG14" s="338">
        <f>ROUND(AVERAGE(AH24:AH27)*(AG10/200),3)</f>
        <v>0.47699999999999998</v>
      </c>
      <c r="AH14" s="315">
        <f>AF10</f>
        <v>3</v>
      </c>
      <c r="AI14" s="338">
        <f>AG14*AH14*(AG10/200)</f>
        <v>2.3253750000000002</v>
      </c>
      <c r="AJ14" s="321"/>
    </row>
    <row r="15" spans="1:36" ht="20.100000000000001" customHeight="1" thickBot="1">
      <c r="A15" s="320"/>
      <c r="H15" s="321"/>
      <c r="J15" s="325" t="s">
        <v>349</v>
      </c>
      <c r="O15" s="321"/>
      <c r="P15" s="320"/>
      <c r="Q15" s="325" t="s">
        <v>350</v>
      </c>
      <c r="W15" s="320"/>
      <c r="X15" s="325" t="s">
        <v>357</v>
      </c>
      <c r="Z15" s="336" t="s">
        <v>45</v>
      </c>
      <c r="AA15" s="336"/>
      <c r="AB15" s="337">
        <v>28.915275368243432</v>
      </c>
      <c r="AD15" s="320"/>
      <c r="AG15" s="419" t="s">
        <v>345</v>
      </c>
      <c r="AI15" s="419" t="s">
        <v>345</v>
      </c>
      <c r="AJ15" s="321"/>
    </row>
    <row r="16" spans="1:36" ht="20.100000000000001" customHeight="1" thickBot="1">
      <c r="A16" s="320"/>
      <c r="B16" s="745" t="s">
        <v>342</v>
      </c>
      <c r="H16" s="321"/>
      <c r="I16" s="314"/>
      <c r="J16" s="314"/>
      <c r="K16" s="314"/>
      <c r="L16" s="314"/>
      <c r="M16" s="314"/>
      <c r="N16" s="314"/>
      <c r="O16" s="324"/>
      <c r="P16" s="320"/>
      <c r="W16" s="320"/>
      <c r="Z16" s="336" t="s">
        <v>90</v>
      </c>
      <c r="AA16" s="336"/>
      <c r="AB16" s="337">
        <v>18.199581425533566</v>
      </c>
      <c r="AD16" s="320"/>
      <c r="AJ16" s="321"/>
    </row>
    <row r="17" spans="1:36" ht="20.100000000000001" customHeight="1" thickBot="1">
      <c r="A17" s="320"/>
      <c r="B17" s="325" t="s">
        <v>347</v>
      </c>
      <c r="H17" s="321"/>
      <c r="I17" s="317"/>
      <c r="J17" s="318"/>
      <c r="K17" s="318"/>
      <c r="L17" s="318"/>
      <c r="M17" s="318"/>
      <c r="N17" s="318"/>
      <c r="O17" s="319"/>
      <c r="Q17" s="745" t="s">
        <v>342</v>
      </c>
      <c r="W17" s="320"/>
      <c r="X17" s="745" t="s">
        <v>342</v>
      </c>
      <c r="AD17" s="320"/>
      <c r="AE17" s="745" t="s">
        <v>342</v>
      </c>
      <c r="AG17" s="745" t="s">
        <v>342</v>
      </c>
      <c r="AJ17" s="321"/>
    </row>
    <row r="18" spans="1:36" ht="20.100000000000001" customHeight="1" thickBot="1">
      <c r="A18" s="320"/>
      <c r="D18" s="781" t="s">
        <v>555</v>
      </c>
      <c r="E18" s="782"/>
      <c r="F18" s="782"/>
      <c r="G18" s="782"/>
      <c r="H18" s="783"/>
      <c r="I18" s="320"/>
      <c r="J18" s="781" t="s">
        <v>556</v>
      </c>
      <c r="K18" s="782"/>
      <c r="L18" s="782"/>
      <c r="M18" s="782"/>
      <c r="N18" s="783"/>
      <c r="O18" s="321"/>
      <c r="Q18" s="325" t="s">
        <v>351</v>
      </c>
      <c r="W18" s="320"/>
      <c r="X18" s="325" t="s">
        <v>358</v>
      </c>
      <c r="AD18" s="320"/>
      <c r="AE18" s="325" t="s">
        <v>357</v>
      </c>
      <c r="AG18" s="325" t="s">
        <v>374</v>
      </c>
      <c r="AJ18" s="321"/>
    </row>
    <row r="19" spans="1:36" ht="20.100000000000001" customHeight="1" thickBot="1">
      <c r="A19" s="320"/>
      <c r="B19" s="745" t="s">
        <v>342</v>
      </c>
      <c r="H19" s="321"/>
      <c r="I19" s="320"/>
      <c r="O19" s="321"/>
      <c r="P19" s="314"/>
      <c r="Q19" s="314"/>
      <c r="R19" s="314"/>
      <c r="S19" s="314"/>
      <c r="T19" s="314"/>
      <c r="U19" s="314"/>
      <c r="V19" s="314"/>
      <c r="W19" s="323"/>
      <c r="X19" s="314"/>
      <c r="Y19" s="314"/>
      <c r="Z19" s="314"/>
      <c r="AA19" s="314"/>
      <c r="AB19" s="314"/>
      <c r="AC19" s="314"/>
      <c r="AD19" s="323"/>
      <c r="AE19" s="314"/>
      <c r="AF19" s="314"/>
      <c r="AG19" s="314"/>
      <c r="AH19" s="314"/>
      <c r="AI19" s="314"/>
      <c r="AJ19" s="324"/>
    </row>
    <row r="20" spans="1:36" ht="20.100000000000001" customHeight="1" thickBot="1">
      <c r="A20" s="320"/>
      <c r="B20" s="325" t="s">
        <v>348</v>
      </c>
      <c r="D20" s="738">
        <v>1</v>
      </c>
      <c r="E20" s="326" t="str">
        <f>IF(D20=1," Se requiere poda."," No se requiere poda.")</f>
        <v xml:space="preserve"> Se requiere poda.</v>
      </c>
      <c r="H20" s="321"/>
      <c r="I20" s="320"/>
      <c r="L20" s="786" t="str">
        <f>IF(D20=1,"Se requiere deshija. ","No se requiere deshija. ")</f>
        <v xml:space="preserve">Se requiere deshija. </v>
      </c>
      <c r="M20" s="760">
        <v>1</v>
      </c>
      <c r="P20" s="317"/>
      <c r="Q20" s="318"/>
      <c r="R20" s="318"/>
      <c r="S20" s="318"/>
      <c r="T20" s="318"/>
      <c r="U20" s="318"/>
      <c r="V20" s="319"/>
    </row>
    <row r="21" spans="1:36" ht="20.100000000000001" customHeight="1" thickBot="1">
      <c r="A21" s="323"/>
      <c r="B21" s="314"/>
      <c r="C21" s="314"/>
      <c r="D21" s="314"/>
      <c r="E21" s="314"/>
      <c r="F21" s="314"/>
      <c r="G21" s="314"/>
      <c r="H21" s="324"/>
      <c r="I21" s="323"/>
      <c r="J21" s="314"/>
      <c r="K21" s="314"/>
      <c r="L21" s="314"/>
      <c r="M21" s="314"/>
      <c r="N21" s="314"/>
      <c r="O21" s="314"/>
      <c r="P21" s="320"/>
      <c r="Q21" s="781" t="s">
        <v>557</v>
      </c>
      <c r="R21" s="782"/>
      <c r="S21" s="782"/>
      <c r="T21" s="782"/>
      <c r="U21" s="783"/>
      <c r="V21" s="321"/>
    </row>
    <row r="22" spans="1:36" ht="20.100000000000001" customHeight="1">
      <c r="P22" s="320"/>
      <c r="V22" s="321"/>
    </row>
    <row r="23" spans="1:36" ht="20.100000000000001" customHeight="1">
      <c r="P23" s="320"/>
      <c r="T23" s="786" t="str">
        <f>IF(U23=1,"Se requieren arreglos de sombra. ","No se requiere arreglos de sombra. ")</f>
        <v xml:space="preserve">Se requieren arreglos de sombra. </v>
      </c>
      <c r="U23" s="738">
        <v>1</v>
      </c>
      <c r="V23" s="321"/>
      <c r="AE23" s="511" t="s">
        <v>422</v>
      </c>
      <c r="AF23" s="512" t="s">
        <v>318</v>
      </c>
      <c r="AG23" s="513" t="s">
        <v>425</v>
      </c>
    </row>
    <row r="24" spans="1:36" ht="20.100000000000001" customHeight="1" thickBot="1">
      <c r="P24" s="323"/>
      <c r="Q24" s="314"/>
      <c r="R24" s="314"/>
      <c r="S24" s="314"/>
      <c r="T24" s="314"/>
      <c r="U24" s="314"/>
      <c r="V24" s="324"/>
      <c r="AE24" s="514" t="s">
        <v>423</v>
      </c>
      <c r="AF24" s="519">
        <v>200</v>
      </c>
      <c r="AG24" s="515">
        <v>5998.666666666667</v>
      </c>
      <c r="AH24" s="776">
        <v>0.2</v>
      </c>
    </row>
    <row r="25" spans="1:36" ht="20.100000000000001" customHeight="1">
      <c r="AE25" s="789" t="s">
        <v>567</v>
      </c>
      <c r="AF25" s="790" t="s">
        <v>568</v>
      </c>
      <c r="AG25" s="791">
        <v>6111.0572727272729</v>
      </c>
      <c r="AH25" s="776">
        <f>AVERAGE(0.06,0.36)</f>
        <v>0.21</v>
      </c>
    </row>
    <row r="26" spans="1:36" ht="20.100000000000001" customHeight="1">
      <c r="AE26" s="789" t="s">
        <v>413</v>
      </c>
      <c r="AF26" s="790" t="s">
        <v>570</v>
      </c>
      <c r="AG26" s="791">
        <v>4923.6049999999996</v>
      </c>
      <c r="AH26" s="776">
        <f>AVERAGE(0.25,1)</f>
        <v>0.625</v>
      </c>
    </row>
    <row r="27" spans="1:36" ht="20.100000000000001" customHeight="1">
      <c r="AE27" s="516" t="s">
        <v>424</v>
      </c>
      <c r="AF27" s="520" t="s">
        <v>569</v>
      </c>
      <c r="AG27" s="517">
        <v>5943</v>
      </c>
      <c r="AH27" s="776">
        <f>AVERAGE(0.12,0.16)</f>
        <v>0.14000000000000001</v>
      </c>
    </row>
    <row r="28" spans="1:36" ht="20.100000000000001" customHeight="1">
      <c r="AF28" s="521" t="s">
        <v>426</v>
      </c>
    </row>
    <row r="29" spans="1:36" ht="20.100000000000001" customHeight="1">
      <c r="AF29" s="522" t="s">
        <v>427</v>
      </c>
    </row>
  </sheetData>
  <sheetProtection algorithmName="SHA-512" hashValue="dNYDkjDLC+Meif8cJbbd5GyofdoMA6awugmvszNv2Ys89Dm9tIkXnwzTRDQOOtif91/KGDZOZfTG12o3+WVgDg==" saltValue="DIiSMI9V0hxZg4/MzDtu4g==" spinCount="100000" sheet="1" objects="1" scenarios="1"/>
  <conditionalFormatting sqref="C8:G8">
    <cfRule type="cellIs" dxfId="16" priority="10" operator="equal">
      <formula>$C$6</formula>
    </cfRule>
  </conditionalFormatting>
  <conditionalFormatting sqref="D20">
    <cfRule type="cellIs" dxfId="15" priority="4" operator="equal">
      <formula>2</formula>
    </cfRule>
  </conditionalFormatting>
  <conditionalFormatting sqref="K8:N8">
    <cfRule type="cellIs" dxfId="14" priority="9" operator="equal">
      <formula>$K$5</formula>
    </cfRule>
  </conditionalFormatting>
  <conditionalFormatting sqref="M20">
    <cfRule type="cellIs" dxfId="13" priority="3" operator="equal">
      <formula>2</formula>
    </cfRule>
  </conditionalFormatting>
  <conditionalFormatting sqref="R8:U8">
    <cfRule type="cellIs" dxfId="12" priority="7" operator="equal">
      <formula>$R$5</formula>
    </cfRule>
  </conditionalFormatting>
  <conditionalFormatting sqref="U23">
    <cfRule type="cellIs" dxfId="11" priority="1" operator="equal">
      <formula>2</formula>
    </cfRule>
  </conditionalFormatting>
  <conditionalFormatting sqref="Y8:AA8">
    <cfRule type="cellIs" dxfId="10" priority="6" operator="equal">
      <formula>$Y$5</formula>
    </cfRule>
  </conditionalFormatting>
  <conditionalFormatting sqref="AB8">
    <cfRule type="cellIs" dxfId="9" priority="5" operator="equal">
      <formula>$K$5</formula>
    </cfRule>
  </conditionalFormatting>
  <dataValidations count="3">
    <dataValidation type="whole" allowBlank="1" showInputMessage="1" showErrorMessage="1" error="Digite un número ENTERO entre 1 y 2." sqref="C4:C5" xr:uid="{5FD42242-9655-4C8F-9002-6E06935E71B8}">
      <formula1>1</formula1>
      <formula2>2</formula2>
    </dataValidation>
    <dataValidation type="whole" allowBlank="1" showInputMessage="1" showErrorMessage="1" error="Digite un número ENTERO entre 1 y 3." sqref="K4 R4 Y4" xr:uid="{FCAE5240-DF01-4CCC-9AFE-B0C9008EA4D3}">
      <formula1>1</formula1>
      <formula2>3</formula2>
    </dataValidation>
    <dataValidation type="whole" allowBlank="1" showInputMessage="1" showErrorMessage="1" error="Digite un número ENTERO entre 1 y 2, para indicar si:_x000a_(1) Se requiere poda._x000a_(2) No se requiere poda." sqref="D20 M20 U23" xr:uid="{55980B0A-C23F-4188-ABF9-F602C467F0EB}">
      <formula1>1</formula1>
      <formula2>2</formula2>
    </dataValidation>
  </dataValidations>
  <hyperlinks>
    <hyperlink ref="B16" r:id="rId1" xr:uid="{3B8921FA-D511-4AA2-B530-6C244ABAF466}"/>
    <hyperlink ref="B19" r:id="rId2" xr:uid="{2CA74670-0409-4B9D-A305-4B79130B92F8}"/>
    <hyperlink ref="J14" r:id="rId3" xr:uid="{608B46A8-AF48-44EE-8B6E-2C17897365E8}"/>
    <hyperlink ref="Q14" r:id="rId4" xr:uid="{24AD103F-D346-4BBB-AD53-F96E771A30A6}"/>
    <hyperlink ref="Q17" r:id="rId5" xr:uid="{8CDF0D41-0717-4818-AF53-1133EED476A3}"/>
    <hyperlink ref="X14" r:id="rId6" xr:uid="{A04EB833-8A8D-4620-AE99-D569481AD874}"/>
    <hyperlink ref="X17" r:id="rId7" xr:uid="{89BD43C3-891F-4338-A457-3CF9319860E3}"/>
    <hyperlink ref="AE17" r:id="rId8" xr:uid="{6B0620BF-91C6-4D5D-B523-04BC2F196923}"/>
    <hyperlink ref="AG17" r:id="rId9" xr:uid="{3CC0F429-14E1-4061-8F53-B358252A5067}"/>
  </hyperlinks>
  <printOptions horizontalCentered="1" verticalCentered="1"/>
  <pageMargins left="0.51181102362204722" right="0.51181102362204722" top="0.55118110236220474" bottom="0.55118110236220474" header="0.31496062992125984" footer="0.31496062992125984"/>
  <pageSetup scale="85" orientation="landscape" r:id="rId10"/>
  <colBreaks count="2" manualBreakCount="2">
    <brk id="15" max="1048575" man="1"/>
    <brk id="22" max="1048575" man="1"/>
  </col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1C30-8C8B-4533-BB7A-2BE386CBF0AD}">
  <sheetPr>
    <tabColor rgb="FFFFC000"/>
  </sheetPr>
  <dimension ref="B1:AB30"/>
  <sheetViews>
    <sheetView showGridLines="0" workbookViewId="0">
      <pane ySplit="3" topLeftCell="A4" activePane="bottomLeft" state="frozen"/>
      <selection pane="bottomLeft" activeCell="Y1" sqref="Y1"/>
    </sheetView>
  </sheetViews>
  <sheetFormatPr baseColWidth="10" defaultColWidth="10.7109375" defaultRowHeight="18.75"/>
  <cols>
    <col min="1" max="1" width="4.140625" style="345" customWidth="1"/>
    <col min="2" max="2" width="10.7109375" style="636" customWidth="1"/>
    <col min="3" max="3" width="5.5703125" style="636" customWidth="1"/>
    <col min="4" max="17" width="10.7109375" style="636"/>
    <col min="18" max="18" width="10.7109375" style="636" customWidth="1"/>
    <col min="19" max="19" width="10.7109375" style="636"/>
    <col min="20" max="23" width="13.7109375" style="636" bestFit="1" customWidth="1"/>
    <col min="24" max="24" width="2.85546875" style="636" customWidth="1"/>
    <col min="25" max="25" width="9.5703125" style="636" customWidth="1"/>
    <col min="26" max="26" width="2.85546875" style="636" customWidth="1"/>
    <col min="27" max="27" width="11.42578125" style="636" customWidth="1"/>
    <col min="28" max="28" width="20.7109375" style="636" bestFit="1" customWidth="1"/>
    <col min="29" max="16384" width="10.7109375" style="345"/>
  </cols>
  <sheetData>
    <row r="1" spans="2:28">
      <c r="B1" s="707" t="s">
        <v>533</v>
      </c>
      <c r="AA1" s="761">
        <f>IF(UNIT!Z1=1,UNIT!AD3,2025)</f>
        <v>2025</v>
      </c>
      <c r="AB1" s="607" t="s">
        <v>446</v>
      </c>
    </row>
    <row r="3" spans="2:28">
      <c r="D3" s="609" t="s">
        <v>449</v>
      </c>
      <c r="E3" s="609" t="str">
        <f t="shared" ref="E3" si="0">_xlfn.CONCAT(MID(D3,1,4)+1,"-",MID(MID(D3,1,4)+2,3,2))</f>
        <v>2007-08</v>
      </c>
      <c r="F3" s="609" t="str">
        <f t="shared" ref="F3" si="1">_xlfn.CONCAT(MID(E3,1,4)+1,"-",MID(MID(E3,1,4)+2,3,2))</f>
        <v>2008-09</v>
      </c>
      <c r="G3" s="609" t="str">
        <f t="shared" ref="G3" si="2">_xlfn.CONCAT(MID(F3,1,4)+1,"-",MID(MID(F3,1,4)+2,3,2))</f>
        <v>2009-10</v>
      </c>
      <c r="H3" s="609" t="str">
        <f t="shared" ref="H3" si="3">_xlfn.CONCAT(MID(G3,1,4)+1,"-",MID(MID(G3,1,4)+2,3,2))</f>
        <v>2010-11</v>
      </c>
      <c r="I3" s="609" t="str">
        <f t="shared" ref="I3" si="4">_xlfn.CONCAT(MID(H3,1,4)+1,"-",MID(MID(H3,1,4)+2,3,2))</f>
        <v>2011-12</v>
      </c>
      <c r="J3" s="609" t="str">
        <f t="shared" ref="J3" si="5">_xlfn.CONCAT(MID(I3,1,4)+1,"-",MID(MID(I3,1,4)+2,3,2))</f>
        <v>2012-13</v>
      </c>
      <c r="K3" s="609" t="str">
        <f t="shared" ref="K3" si="6">_xlfn.CONCAT(MID(J3,1,4)+1,"-",MID(MID(J3,1,4)+2,3,2))</f>
        <v>2013-14</v>
      </c>
      <c r="L3" s="609" t="str">
        <f t="shared" ref="L3" si="7">_xlfn.CONCAT(MID(K3,1,4)+1,"-",MID(MID(K3,1,4)+2,3,2))</f>
        <v>2014-15</v>
      </c>
      <c r="M3" s="609" t="str">
        <f t="shared" ref="M3:N3" si="8">_xlfn.CONCAT(MID(L3,1,4)+1,"-",MID(MID(L3,1,4)+2,3,2))</f>
        <v>2015-16</v>
      </c>
      <c r="N3" s="609" t="str">
        <f t="shared" si="8"/>
        <v>2016-17</v>
      </c>
      <c r="O3" s="609" t="str">
        <f t="shared" ref="O3:V3" si="9">_xlfn.CONCAT(MID(N3,1,4)+1,"-",MID(MID(N3,1,4)+2,3,2))</f>
        <v>2017-18</v>
      </c>
      <c r="P3" s="609" t="str">
        <f t="shared" si="9"/>
        <v>2018-19</v>
      </c>
      <c r="Q3" s="609" t="str">
        <f t="shared" si="9"/>
        <v>2019-20</v>
      </c>
      <c r="R3" s="609" t="str">
        <f t="shared" si="9"/>
        <v>2020-21</v>
      </c>
      <c r="S3" s="609" t="str">
        <f t="shared" si="9"/>
        <v>2021-22</v>
      </c>
      <c r="T3" s="609" t="str">
        <f t="shared" si="9"/>
        <v>2022-23</v>
      </c>
      <c r="U3" s="609" t="str">
        <f t="shared" si="9"/>
        <v>2023-24</v>
      </c>
      <c r="V3" s="609" t="str">
        <f t="shared" si="9"/>
        <v>2024-25</v>
      </c>
      <c r="W3" s="609" t="str">
        <f t="shared" ref="W3" si="10">_xlfn.CONCAT(MID(V3,1,4)+1,"-",MID(MID(V3,1,4)+2,3,2))</f>
        <v>2025-26</v>
      </c>
      <c r="AA3" s="609" t="str">
        <f>_xlfn.CONCAT(AA1,"-",MID(AA1+1,3,2))</f>
        <v>2025-26</v>
      </c>
    </row>
    <row r="4" spans="2:28" ht="19.5" thickBot="1"/>
    <row r="5" spans="2:28" ht="19.5" thickBot="1">
      <c r="B5" s="648" t="s">
        <v>518</v>
      </c>
      <c r="C5" s="649"/>
      <c r="D5" s="643">
        <f t="shared" ref="D5:E5" si="11">AVERAGE(D10,D11,D12)</f>
        <v>2031740.4660408115</v>
      </c>
      <c r="E5" s="643">
        <f t="shared" si="11"/>
        <v>2103061.9941628431</v>
      </c>
      <c r="F5" s="643">
        <f t="shared" ref="F5:G5" si="12">AVERAGE(F10,F11,F12)</f>
        <v>2195635.8291552304</v>
      </c>
      <c r="G5" s="643">
        <f t="shared" si="12"/>
        <v>2302612.9301714725</v>
      </c>
      <c r="H5" s="643">
        <f t="shared" ref="H5:I5" si="13">AVERAGE(H10,H11,H12)</f>
        <v>2414707.0697801504</v>
      </c>
      <c r="I5" s="643">
        <f t="shared" si="13"/>
        <v>2531514.700536564</v>
      </c>
      <c r="J5" s="643">
        <f t="shared" ref="J5:K5" si="14">AVERAGE(J10,J11,J12)</f>
        <v>2651456.7321539344</v>
      </c>
      <c r="K5" s="643">
        <f t="shared" si="14"/>
        <v>2764895.7445234857</v>
      </c>
      <c r="L5" s="643">
        <f t="shared" ref="L5:M5" si="15">AVERAGE(L10,L11,L12)</f>
        <v>2873629.6299415603</v>
      </c>
      <c r="M5" s="643">
        <f t="shared" si="15"/>
        <v>2977382.8274402716</v>
      </c>
      <c r="N5" s="643">
        <f t="shared" ref="N5:T5" si="16">AVERAGE(N10,N11,N12)</f>
        <v>2865522.2697271048</v>
      </c>
      <c r="O5" s="643">
        <f t="shared" si="16"/>
        <v>2934700.3263810384</v>
      </c>
      <c r="P5" s="643">
        <f t="shared" si="16"/>
        <v>3046486.808402868</v>
      </c>
      <c r="Q5" s="643">
        <f t="shared" si="16"/>
        <v>3124970.4381753099</v>
      </c>
      <c r="R5" s="643">
        <f t="shared" si="16"/>
        <v>3173921.8900155574</v>
      </c>
      <c r="S5" s="643">
        <f t="shared" si="16"/>
        <v>3365254.7020521215</v>
      </c>
      <c r="T5" s="643">
        <f t="shared" si="16"/>
        <v>3615578.0608737841</v>
      </c>
      <c r="U5" s="643">
        <f t="shared" ref="U5:V5" si="17">AVERAGE(U10,U11,U12)</f>
        <v>3716783.8381609558</v>
      </c>
      <c r="V5" s="643">
        <f t="shared" si="17"/>
        <v>3831486.6949544461</v>
      </c>
      <c r="W5" s="643">
        <f t="shared" ref="W5" si="18">AVERAGE(W10,W11,W12)</f>
        <v>3817582.414149337</v>
      </c>
      <c r="X5" s="644"/>
      <c r="Y5" s="346">
        <f>TECNICO!M4</f>
        <v>40</v>
      </c>
      <c r="Z5" s="644"/>
      <c r="AA5" s="643" cm="1">
        <f t="array" ref="AA5">LOOKUP(MID($AA$1,1,4),$D$30:$X$30,ROUND(D5:X5,2))</f>
        <v>3817582.41</v>
      </c>
    </row>
    <row r="6" spans="2:28">
      <c r="B6" s="644" t="s">
        <v>519</v>
      </c>
      <c r="C6" s="644"/>
      <c r="D6" s="640">
        <f t="shared" ref="D6:E6" si="19">D5*D8</f>
        <v>1564809.0767952856</v>
      </c>
      <c r="E6" s="640">
        <f t="shared" si="19"/>
        <v>1605126.7855874188</v>
      </c>
      <c r="F6" s="640">
        <f t="shared" ref="F6:G6" si="20">F5*F8</f>
        <v>1622576.4486423635</v>
      </c>
      <c r="G6" s="640">
        <f t="shared" si="20"/>
        <v>1720683.6956377032</v>
      </c>
      <c r="H6" s="640">
        <f t="shared" ref="H6:I6" si="21">H5*H8</f>
        <v>1855128.0595471133</v>
      </c>
      <c r="I6" s="640">
        <f t="shared" si="21"/>
        <v>1962635.5637271868</v>
      </c>
      <c r="J6" s="640">
        <f t="shared" ref="J6:K6" si="22">J5*J8</f>
        <v>2045728.0788149831</v>
      </c>
      <c r="K6" s="640">
        <f t="shared" si="22"/>
        <v>2120054.4817564022</v>
      </c>
      <c r="L6" s="640">
        <f t="shared" ref="L6:M6" si="23">L5*L8</f>
        <v>2224445.6450012336</v>
      </c>
      <c r="M6" s="640">
        <f t="shared" si="23"/>
        <v>2319127.5213783807</v>
      </c>
      <c r="N6" s="640">
        <f t="shared" ref="N6:T6" si="24">N5*N8</f>
        <v>2250697.9990565716</v>
      </c>
      <c r="O6" s="640">
        <f t="shared" si="24"/>
        <v>2312487.0450199507</v>
      </c>
      <c r="P6" s="640">
        <f t="shared" si="24"/>
        <v>2404237.8597502825</v>
      </c>
      <c r="Q6" s="640">
        <f t="shared" si="24"/>
        <v>2461061.7939086971</v>
      </c>
      <c r="R6" s="640">
        <f t="shared" si="24"/>
        <v>2471239.155364383</v>
      </c>
      <c r="S6" s="640">
        <f t="shared" si="24"/>
        <v>2582973.9722305718</v>
      </c>
      <c r="T6" s="640">
        <f t="shared" si="24"/>
        <v>2690430.3260243898</v>
      </c>
      <c r="U6" s="640">
        <f t="shared" ref="U6:V6" si="25">U5*U8</f>
        <v>2866623.9715459691</v>
      </c>
      <c r="V6" s="640">
        <f t="shared" si="25"/>
        <v>2992705.1572384457</v>
      </c>
      <c r="W6" s="640">
        <f t="shared" ref="W6" si="26">W5*W8</f>
        <v>2989931.2777176737</v>
      </c>
      <c r="X6" s="644"/>
      <c r="Y6" s="644"/>
      <c r="Z6" s="644"/>
      <c r="AA6" s="646" cm="1">
        <f t="array" ref="AA6">LOOKUP(MID($AA$1,1,4),$D$30:$X$30,ROUND(D6:X6,2))</f>
        <v>2989931.28</v>
      </c>
    </row>
    <row r="7" spans="2:28">
      <c r="B7" s="644" t="s">
        <v>520</v>
      </c>
      <c r="C7" s="644"/>
      <c r="D7" s="640">
        <f t="shared" ref="D7:E7" si="27">D5-D6</f>
        <v>466931.38924552593</v>
      </c>
      <c r="E7" s="640">
        <f t="shared" si="27"/>
        <v>497935.20857542427</v>
      </c>
      <c r="F7" s="640">
        <f t="shared" ref="F7:G7" si="28">F5-F6</f>
        <v>573059.38051286689</v>
      </c>
      <c r="G7" s="640">
        <f t="shared" si="28"/>
        <v>581929.23453376931</v>
      </c>
      <c r="H7" s="640">
        <f t="shared" ref="H7:I7" si="29">H5-H6</f>
        <v>559579.01023303717</v>
      </c>
      <c r="I7" s="640">
        <f t="shared" si="29"/>
        <v>568879.13680937723</v>
      </c>
      <c r="J7" s="640">
        <f t="shared" ref="J7:K7" si="30">J5-J6</f>
        <v>605728.65333895129</v>
      </c>
      <c r="K7" s="640">
        <f t="shared" si="30"/>
        <v>644841.26276708348</v>
      </c>
      <c r="L7" s="640">
        <f t="shared" ref="L7:M7" si="31">L5-L6</f>
        <v>649183.98494032677</v>
      </c>
      <c r="M7" s="640">
        <f t="shared" si="31"/>
        <v>658255.30606189091</v>
      </c>
      <c r="N7" s="640">
        <f t="shared" ref="N7:T7" si="32">N5-N6</f>
        <v>614824.27067053318</v>
      </c>
      <c r="O7" s="640">
        <f t="shared" si="32"/>
        <v>622213.28136108769</v>
      </c>
      <c r="P7" s="640">
        <f t="shared" si="32"/>
        <v>642248.9486525855</v>
      </c>
      <c r="Q7" s="640">
        <f t="shared" si="32"/>
        <v>663908.64426661283</v>
      </c>
      <c r="R7" s="640">
        <f t="shared" si="32"/>
        <v>702682.7346511744</v>
      </c>
      <c r="S7" s="640">
        <f t="shared" si="32"/>
        <v>782280.72982154973</v>
      </c>
      <c r="T7" s="640">
        <f t="shared" si="32"/>
        <v>925147.7348493943</v>
      </c>
      <c r="U7" s="640">
        <f t="shared" ref="U7:V7" si="33">U5-U6</f>
        <v>850159.86661498668</v>
      </c>
      <c r="V7" s="640">
        <f t="shared" si="33"/>
        <v>838781.53771600034</v>
      </c>
      <c r="W7" s="640">
        <f t="shared" ref="W7" si="34">W5-W6</f>
        <v>827651.1364316633</v>
      </c>
      <c r="X7" s="644"/>
      <c r="Y7" s="644"/>
      <c r="Z7" s="644"/>
      <c r="AA7" s="646">
        <f>AA5-AA6</f>
        <v>827651.13000000035</v>
      </c>
    </row>
    <row r="8" spans="2:28">
      <c r="B8" s="655" t="s">
        <v>521</v>
      </c>
      <c r="C8" s="656"/>
      <c r="D8" s="658">
        <f>D15/SUM(D15:D16)</f>
        <v>0.77018157729790149</v>
      </c>
      <c r="E8" s="658">
        <f t="shared" ref="E8:W8" si="35">E15/SUM(E15:E16)</f>
        <v>0.76323322376731206</v>
      </c>
      <c r="F8" s="658">
        <f t="shared" si="35"/>
        <v>0.73900071546320545</v>
      </c>
      <c r="G8" s="658">
        <f t="shared" si="35"/>
        <v>0.74727439991816869</v>
      </c>
      <c r="H8" s="658">
        <f t="shared" si="35"/>
        <v>0.76826215600388137</v>
      </c>
      <c r="I8" s="658">
        <f t="shared" si="35"/>
        <v>0.77528112450273301</v>
      </c>
      <c r="J8" s="658">
        <f t="shared" si="35"/>
        <v>0.77154873168649363</v>
      </c>
      <c r="K8" s="658">
        <f t="shared" si="35"/>
        <v>0.76677555960497235</v>
      </c>
      <c r="L8" s="658">
        <f t="shared" si="35"/>
        <v>0.77408919431502066</v>
      </c>
      <c r="M8" s="658">
        <f t="shared" si="35"/>
        <v>0.77891479053507906</v>
      </c>
      <c r="N8" s="658">
        <f t="shared" si="35"/>
        <v>0.78544076339386282</v>
      </c>
      <c r="O8" s="658">
        <f t="shared" si="35"/>
        <v>0.78798064123692746</v>
      </c>
      <c r="P8" s="658">
        <f t="shared" si="35"/>
        <v>0.78918374211202091</v>
      </c>
      <c r="Q8" s="658">
        <f t="shared" si="35"/>
        <v>0.78754722407733446</v>
      </c>
      <c r="R8" s="658">
        <f t="shared" si="35"/>
        <v>0.77860742671026162</v>
      </c>
      <c r="S8" s="658">
        <f t="shared" si="35"/>
        <v>0.76754189531493189</v>
      </c>
      <c r="T8" s="658">
        <f t="shared" si="35"/>
        <v>0.74412176441135613</v>
      </c>
      <c r="U8" s="658">
        <f t="shared" si="35"/>
        <v>0.7712646460936935</v>
      </c>
      <c r="V8" s="658">
        <f t="shared" si="35"/>
        <v>0.78108196517540751</v>
      </c>
      <c r="W8" s="657">
        <f t="shared" si="35"/>
        <v>0.7832001914708927</v>
      </c>
      <c r="X8" s="644"/>
      <c r="Y8" s="644"/>
      <c r="Z8" s="644"/>
      <c r="AA8" s="676">
        <f>LOOKUP(MID($AA$1,1,4),$D$30:$X$30,D8:X8)</f>
        <v>0.7832001914708927</v>
      </c>
    </row>
    <row r="10" spans="2:28">
      <c r="B10" s="654" t="s">
        <v>386</v>
      </c>
      <c r="D10" s="646">
        <f t="shared" ref="D10:E10" si="36">D18+D19*($Y$5)</f>
        <v>2021681.2947257347</v>
      </c>
      <c r="E10" s="646">
        <f t="shared" si="36"/>
        <v>2102905.9673106386</v>
      </c>
      <c r="F10" s="646">
        <f t="shared" ref="F10:G10" si="37">F18+F19*($Y$5)</f>
        <v>2225038.7425675122</v>
      </c>
      <c r="G10" s="646">
        <f t="shared" si="37"/>
        <v>2341459.4839924863</v>
      </c>
      <c r="H10" s="646">
        <f t="shared" ref="H10:I10" si="38">H18+H19*($Y$5)</f>
        <v>2455276.9758284194</v>
      </c>
      <c r="I10" s="646">
        <f t="shared" si="38"/>
        <v>2578619.6984611219</v>
      </c>
      <c r="J10" s="646">
        <f t="shared" ref="J10:K10" si="39">J18+J19*($Y$5)</f>
        <v>2700717.9234012067</v>
      </c>
      <c r="K10" s="646">
        <f t="shared" si="39"/>
        <v>2792956.1524454006</v>
      </c>
      <c r="L10" s="646">
        <f t="shared" ref="L10:M10" si="40">L18+L19*($Y$5)</f>
        <v>2893969.5829871544</v>
      </c>
      <c r="M10" s="646">
        <f t="shared" si="40"/>
        <v>2985371.5286540585</v>
      </c>
      <c r="N10" s="646">
        <f t="shared" ref="N10:T10" si="41">N18+N19*($Y$5)</f>
        <v>2891109.5391267398</v>
      </c>
      <c r="O10" s="646">
        <f t="shared" si="41"/>
        <v>2953626.1400257838</v>
      </c>
      <c r="P10" s="646">
        <f t="shared" si="41"/>
        <v>3053883.6695215716</v>
      </c>
      <c r="Q10" s="646">
        <f t="shared" si="41"/>
        <v>3128165.1969726644</v>
      </c>
      <c r="R10" s="646">
        <f t="shared" si="41"/>
        <v>3163853.3612058023</v>
      </c>
      <c r="S10" s="646">
        <f t="shared" si="41"/>
        <v>3351625.4535786468</v>
      </c>
      <c r="T10" s="646">
        <f t="shared" si="41"/>
        <v>3602017.2637371714</v>
      </c>
      <c r="U10" s="646">
        <f t="shared" ref="U10:V10" si="42">U18+U19*($Y$5)</f>
        <v>3693077.3066280871</v>
      </c>
      <c r="V10" s="646">
        <f t="shared" si="42"/>
        <v>3805930.8612512085</v>
      </c>
      <c r="W10" s="646">
        <f t="shared" ref="W10" si="43">W18+W19*($Y$5)</f>
        <v>3790330.0957169887</v>
      </c>
    </row>
    <row r="11" spans="2:28">
      <c r="B11" s="654" t="s">
        <v>394</v>
      </c>
      <c r="D11" s="646">
        <f t="shared" ref="D11:E11" si="44">D22+D23*($Y$5)+D24*POWER($Y$5,2)</f>
        <v>2020558.1713645565</v>
      </c>
      <c r="E11" s="646">
        <f t="shared" si="44"/>
        <v>2070037.9178290542</v>
      </c>
      <c r="F11" s="646">
        <f t="shared" ref="F11:G11" si="45">F22+F23*($Y$5)+F24*POWER($Y$5,2)</f>
        <v>2105639.3875743924</v>
      </c>
      <c r="G11" s="646">
        <f t="shared" si="45"/>
        <v>2196220.7533967737</v>
      </c>
      <c r="H11" s="646">
        <f t="shared" ref="H11:I11" si="46">H22+H23*($Y$5)+H24*POWER($Y$5,2)</f>
        <v>2307902.0208939514</v>
      </c>
      <c r="I11" s="646">
        <f t="shared" si="46"/>
        <v>2417103.499497565</v>
      </c>
      <c r="J11" s="646">
        <f t="shared" ref="J11:K11" si="47">J22+J23*($Y$5)+J24*POWER($Y$5,2)</f>
        <v>2538627.496167846</v>
      </c>
      <c r="K11" s="646">
        <f t="shared" si="47"/>
        <v>2695863.4660686208</v>
      </c>
      <c r="L11" s="646">
        <f t="shared" ref="L11:M11" si="48">L22+L23*($Y$5)+L24*POWER($Y$5,2)</f>
        <v>2823327.9341887073</v>
      </c>
      <c r="M11" s="646">
        <f t="shared" si="48"/>
        <v>2953964.6542482623</v>
      </c>
      <c r="N11" s="646">
        <f t="shared" ref="N11:T11" si="49">N22+N23*($Y$5)+N24*POWER($Y$5,2)</f>
        <v>2801149.4099246287</v>
      </c>
      <c r="O11" s="646">
        <f t="shared" si="49"/>
        <v>2888799.3068406666</v>
      </c>
      <c r="P11" s="646">
        <f t="shared" si="49"/>
        <v>3026493.8434360377</v>
      </c>
      <c r="Q11" s="646">
        <f t="shared" si="49"/>
        <v>3116151.300358233</v>
      </c>
      <c r="R11" s="646">
        <f t="shared" si="49"/>
        <v>3194340.7393612075</v>
      </c>
      <c r="S11" s="646">
        <f t="shared" si="49"/>
        <v>3398901.0937340525</v>
      </c>
      <c r="T11" s="646">
        <f t="shared" si="49"/>
        <v>3653457.8915256979</v>
      </c>
      <c r="U11" s="646">
        <f t="shared" ref="U11:V11" si="50">U22+U23*($Y$5)+U24*POWER($Y$5,2)</f>
        <v>3775495.8293340961</v>
      </c>
      <c r="V11" s="646">
        <f t="shared" si="50"/>
        <v>3901748.6508440557</v>
      </c>
      <c r="W11" s="646">
        <f t="shared" ref="W11" si="51">W22+W23*($Y$5)+W24*POWER($Y$5,2)</f>
        <v>3893118.8492996828</v>
      </c>
    </row>
    <row r="12" spans="2:28">
      <c r="B12" s="654" t="s">
        <v>335</v>
      </c>
      <c r="D12" s="646">
        <f t="shared" ref="D12:E12" si="52">EXP(D26+D27*LN($Y$5))</f>
        <v>2052981.9320321432</v>
      </c>
      <c r="E12" s="646">
        <f t="shared" si="52"/>
        <v>2136242.0973488376</v>
      </c>
      <c r="F12" s="646">
        <f t="shared" ref="F12:G12" si="53">EXP(F26+F27*LN($Y$5))</f>
        <v>2256229.3573237862</v>
      </c>
      <c r="G12" s="646">
        <f t="shared" si="53"/>
        <v>2370158.5531251575</v>
      </c>
      <c r="H12" s="646">
        <f t="shared" ref="H12:I12" si="54">EXP(H26+H27*LN($Y$5))</f>
        <v>2480942.2126180804</v>
      </c>
      <c r="I12" s="646">
        <f t="shared" si="54"/>
        <v>2598820.9036510042</v>
      </c>
      <c r="J12" s="646">
        <f t="shared" ref="J12:K12" si="55">EXP(J26+J27*LN($Y$5))</f>
        <v>2715024.7768927505</v>
      </c>
      <c r="K12" s="646">
        <f t="shared" si="55"/>
        <v>2805867.6150564346</v>
      </c>
      <c r="L12" s="646">
        <f t="shared" ref="L12:M12" si="56">EXP(L26+L27*LN($Y$5))</f>
        <v>2903591.3726488198</v>
      </c>
      <c r="M12" s="646">
        <f t="shared" si="56"/>
        <v>2992812.2994184936</v>
      </c>
      <c r="N12" s="646">
        <f t="shared" ref="N12:T12" si="57">EXP(N26+N27*LN($Y$5))</f>
        <v>2904307.8601299459</v>
      </c>
      <c r="O12" s="646">
        <f t="shared" si="57"/>
        <v>2961675.5322766635</v>
      </c>
      <c r="P12" s="646">
        <f t="shared" si="57"/>
        <v>3059082.9122509942</v>
      </c>
      <c r="Q12" s="646">
        <f t="shared" si="57"/>
        <v>3130594.8171950327</v>
      </c>
      <c r="R12" s="646">
        <f t="shared" si="57"/>
        <v>3163571.5694796634</v>
      </c>
      <c r="S12" s="646">
        <f t="shared" si="57"/>
        <v>3345237.5588436658</v>
      </c>
      <c r="T12" s="646">
        <f t="shared" si="57"/>
        <v>3591259.0273584826</v>
      </c>
      <c r="U12" s="646">
        <f t="shared" ref="U12:V12" si="58">EXP(U26+U27*LN($Y$5))</f>
        <v>3681778.3785206852</v>
      </c>
      <c r="V12" s="646">
        <f t="shared" si="58"/>
        <v>3786780.572768074</v>
      </c>
      <c r="W12" s="646">
        <f t="shared" ref="W12" si="59">EXP(W26+W27*LN($Y$5))</f>
        <v>3769298.2974313409</v>
      </c>
    </row>
    <row r="13" spans="2:28">
      <c r="B13" s="604"/>
      <c r="S13" s="640"/>
      <c r="T13" s="640"/>
      <c r="U13" s="640"/>
      <c r="V13" s="640"/>
      <c r="W13" s="640"/>
    </row>
    <row r="14" spans="2:28">
      <c r="B14" s="648" t="s">
        <v>522</v>
      </c>
      <c r="C14" s="649"/>
      <c r="AA14" s="643">
        <f>SUM(AA15:AA16)</f>
        <v>5641475</v>
      </c>
    </row>
    <row r="15" spans="2:28">
      <c r="B15" s="650" t="s">
        <v>519</v>
      </c>
      <c r="D15" s="646">
        <v>1852032.1759871999</v>
      </c>
      <c r="E15" s="646">
        <v>2064761.775809644</v>
      </c>
      <c r="F15" s="646">
        <v>2392244.4582736003</v>
      </c>
      <c r="G15" s="646">
        <v>2560487.4208111996</v>
      </c>
      <c r="H15" s="646">
        <v>2783467.9467399777</v>
      </c>
      <c r="I15" s="646">
        <v>3096614.9819986438</v>
      </c>
      <c r="J15" s="646">
        <v>3252797.6981591778</v>
      </c>
      <c r="K15" s="646">
        <v>3070848.9080987559</v>
      </c>
      <c r="L15" s="646">
        <v>3351740.2348071774</v>
      </c>
      <c r="M15" s="646">
        <v>3410205.4237360889</v>
      </c>
      <c r="N15" s="646">
        <v>3401855.2514527999</v>
      </c>
      <c r="O15" s="646">
        <v>3499733.6471794005</v>
      </c>
      <c r="P15" s="646">
        <v>3626783.2723860443</v>
      </c>
      <c r="Q15" s="646">
        <v>3732617.2763899555</v>
      </c>
      <c r="R15" s="646">
        <v>3603100.6026119553</v>
      </c>
      <c r="S15" s="646">
        <v>4051929.5791801773</v>
      </c>
      <c r="T15" s="646">
        <v>4600655.0659859106</v>
      </c>
      <c r="U15" s="646">
        <v>4199989.2914082222</v>
      </c>
      <c r="V15" s="646">
        <v>4391713.005903</v>
      </c>
      <c r="W15" s="646">
        <v>4418404.3007884892</v>
      </c>
      <c r="AA15" s="646" cm="1">
        <f t="array" ref="AA15">LOOKUP(MID($AA$1,1,4),$D$30:$X$30,ROUND(D15:X15,2))</f>
        <v>4418404.3</v>
      </c>
    </row>
    <row r="16" spans="2:28">
      <c r="B16" s="650" t="s">
        <v>520</v>
      </c>
      <c r="D16" s="646">
        <v>552637.35984466679</v>
      </c>
      <c r="E16" s="646">
        <v>640521.10694800003</v>
      </c>
      <c r="F16" s="646">
        <v>844889.6989973333</v>
      </c>
      <c r="G16" s="646">
        <v>865947.93023466668</v>
      </c>
      <c r="H16" s="646">
        <v>839602.54422133334</v>
      </c>
      <c r="I16" s="646">
        <v>897568.39759133325</v>
      </c>
      <c r="J16" s="646">
        <v>963135.22295266669</v>
      </c>
      <c r="K16" s="646">
        <v>934037.3583346667</v>
      </c>
      <c r="L16" s="646">
        <v>978174.53395933332</v>
      </c>
      <c r="M16" s="646">
        <v>967944.10580800008</v>
      </c>
      <c r="N16" s="646">
        <v>929286.45903533325</v>
      </c>
      <c r="O16" s="646">
        <v>941661.81868599996</v>
      </c>
      <c r="P16" s="646">
        <v>968829.99085733329</v>
      </c>
      <c r="Q16" s="646">
        <v>1006929.9688726667</v>
      </c>
      <c r="R16" s="646">
        <v>1024521.0703993334</v>
      </c>
      <c r="S16" s="646">
        <v>1227169.3259260003</v>
      </c>
      <c r="T16" s="646">
        <v>1582009.2317386668</v>
      </c>
      <c r="U16" s="646">
        <v>1245598.4360733335</v>
      </c>
      <c r="V16" s="646">
        <v>1230888.9766133334</v>
      </c>
      <c r="W16" s="646">
        <v>1223070.6999906667</v>
      </c>
      <c r="AA16" s="646" cm="1">
        <f t="array" ref="AA16">LOOKUP(MID($AA$1,1,4),$D$30:$X$30,ROUND(D16:X16,2))</f>
        <v>1223070.7</v>
      </c>
    </row>
    <row r="17" spans="2:27" ht="19.5" thickBot="1">
      <c r="B17" s="616"/>
      <c r="C17" s="641"/>
      <c r="D17" s="641"/>
      <c r="E17" s="641"/>
      <c r="F17" s="641"/>
      <c r="G17" s="641"/>
      <c r="H17" s="641"/>
      <c r="I17" s="641"/>
      <c r="J17" s="641"/>
      <c r="K17" s="641"/>
      <c r="L17" s="641"/>
      <c r="M17" s="641"/>
      <c r="N17" s="641"/>
      <c r="O17" s="641"/>
      <c r="P17" s="641"/>
      <c r="Q17" s="641"/>
      <c r="R17" s="642"/>
      <c r="S17" s="643"/>
      <c r="T17" s="643"/>
      <c r="U17" s="643"/>
      <c r="V17" s="643"/>
      <c r="W17" s="643"/>
    </row>
    <row r="18" spans="2:27">
      <c r="B18" s="651"/>
      <c r="C18" s="637" t="s">
        <v>254</v>
      </c>
      <c r="D18" s="645">
        <v>1335891.0988954785</v>
      </c>
      <c r="E18" s="645">
        <v>1224924.0727188268</v>
      </c>
      <c r="F18" s="645">
        <v>989710.20759134181</v>
      </c>
      <c r="G18" s="645">
        <v>811172.49777656328</v>
      </c>
      <c r="H18" s="645">
        <v>662685.58503060439</v>
      </c>
      <c r="I18" s="645">
        <v>492537.49409665074</v>
      </c>
      <c r="J18" s="645">
        <v>341798.6186416545</v>
      </c>
      <c r="K18" s="645">
        <v>312524.15708123287</v>
      </c>
      <c r="L18" s="645">
        <v>241482.03218513541</v>
      </c>
      <c r="M18" s="645">
        <v>205038.9244693201</v>
      </c>
      <c r="N18" s="645">
        <v>102071.2577717388</v>
      </c>
      <c r="O18" s="645">
        <v>37406.966446725186</v>
      </c>
      <c r="P18" s="645">
        <v>52569.278299170546</v>
      </c>
      <c r="Q18" s="645">
        <v>21830.269282437861</v>
      </c>
      <c r="R18" s="645">
        <v>28529.20576864481</v>
      </c>
      <c r="S18" s="645">
        <v>-16000.490771024022</v>
      </c>
      <c r="T18" s="645">
        <v>-5429.9923740276136</v>
      </c>
      <c r="U18" s="645">
        <v>-14823.853097851854</v>
      </c>
      <c r="V18" s="645">
        <v>-130279.52826367551</v>
      </c>
      <c r="W18" s="645">
        <v>-113815.64026592439</v>
      </c>
      <c r="AA18" s="645" cm="1">
        <f t="array" ref="AA18">LOOKUP(MID($AA$1,1,4),$D$30:$X$30,ROUND(D18:X18,2))</f>
        <v>-113815.64</v>
      </c>
    </row>
    <row r="19" spans="2:27">
      <c r="B19" s="652" t="s">
        <v>523</v>
      </c>
      <c r="C19" s="638" t="s">
        <v>255</v>
      </c>
      <c r="D19" s="645">
        <v>17144.754895756407</v>
      </c>
      <c r="E19" s="645">
        <v>21949.547364795297</v>
      </c>
      <c r="F19" s="645">
        <v>30883.213374404262</v>
      </c>
      <c r="G19" s="645">
        <v>38257.17465539807</v>
      </c>
      <c r="H19" s="645">
        <v>44814.784769945385</v>
      </c>
      <c r="I19" s="645">
        <v>52152.055109111781</v>
      </c>
      <c r="J19" s="645">
        <v>58972.982618988804</v>
      </c>
      <c r="K19" s="645">
        <v>62010.799884104192</v>
      </c>
      <c r="L19" s="645">
        <v>66312.188770050474</v>
      </c>
      <c r="M19" s="645">
        <v>69508.315104618465</v>
      </c>
      <c r="N19" s="645">
        <v>69725.95703387502</v>
      </c>
      <c r="O19" s="645">
        <v>72905.479339476471</v>
      </c>
      <c r="P19" s="645">
        <v>75032.859780560029</v>
      </c>
      <c r="Q19" s="645">
        <v>77658.373192255662</v>
      </c>
      <c r="R19" s="645">
        <v>78383.10388592894</v>
      </c>
      <c r="S19" s="645">
        <v>84190.648608741772</v>
      </c>
      <c r="T19" s="645">
        <v>90186.18140277997</v>
      </c>
      <c r="U19" s="645">
        <v>92697.528993148473</v>
      </c>
      <c r="V19" s="645">
        <v>98405.259737872097</v>
      </c>
      <c r="W19" s="645">
        <v>97603.643399572829</v>
      </c>
      <c r="AA19" s="645" cm="1">
        <f t="array" ref="AA19">LOOKUP(MID($AA$1,1,4),$D$30:$X$30,ROUND(D19:X19,2))</f>
        <v>97603.64</v>
      </c>
    </row>
    <row r="20" spans="2:27" ht="19.5" thickBot="1">
      <c r="B20" s="653"/>
      <c r="C20" s="639" t="s">
        <v>256</v>
      </c>
      <c r="D20" s="645"/>
      <c r="E20" s="645"/>
      <c r="F20" s="645"/>
      <c r="G20" s="645"/>
      <c r="H20" s="645"/>
      <c r="I20" s="645"/>
      <c r="J20" s="645"/>
      <c r="K20" s="645"/>
      <c r="L20" s="645"/>
      <c r="M20" s="645"/>
      <c r="N20" s="645"/>
      <c r="O20" s="645"/>
      <c r="P20" s="645"/>
      <c r="Q20" s="645"/>
      <c r="R20" s="645"/>
      <c r="S20" s="645"/>
      <c r="T20" s="645"/>
      <c r="U20" s="645"/>
      <c r="V20" s="645"/>
      <c r="W20" s="645"/>
      <c r="AA20" s="645" cm="1">
        <f t="array" ref="AA20">LOOKUP(MID($AA$1,1,4),$D$30:$X$30,ROUND(D20:X20,2))</f>
        <v>0</v>
      </c>
    </row>
    <row r="21" spans="2:27" ht="19.5" thickBot="1">
      <c r="B21" s="345"/>
      <c r="C21" s="345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AA21" s="345"/>
    </row>
    <row r="22" spans="2:27">
      <c r="B22" s="651"/>
      <c r="C22" s="637" t="s">
        <v>254</v>
      </c>
      <c r="D22" s="645">
        <v>1343121.7856587651</v>
      </c>
      <c r="E22" s="645">
        <v>1445583.6776406481</v>
      </c>
      <c r="F22" s="645">
        <v>1817611.5203122296</v>
      </c>
      <c r="G22" s="645">
        <v>1844429.8531565738</v>
      </c>
      <c r="H22" s="645">
        <v>1733285.4642652946</v>
      </c>
      <c r="I22" s="645">
        <v>1686401.9857363668</v>
      </c>
      <c r="J22" s="645">
        <v>1557572.507913837</v>
      </c>
      <c r="K22" s="645">
        <v>1049947.1222073534</v>
      </c>
      <c r="L22" s="645">
        <v>783846.42667899828</v>
      </c>
      <c r="M22" s="645">
        <v>448461.28647788014</v>
      </c>
      <c r="N22" s="645">
        <v>800963.22637464141</v>
      </c>
      <c r="O22" s="645">
        <v>558390.80251208704</v>
      </c>
      <c r="P22" s="645">
        <v>269736.8642481289</v>
      </c>
      <c r="Q22" s="645">
        <v>117230.89669853996</v>
      </c>
      <c r="R22" s="645">
        <v>-218587.44416631106</v>
      </c>
      <c r="S22" s="645">
        <v>-405527.67011108372</v>
      </c>
      <c r="T22" s="645">
        <v>-421631.4353902911</v>
      </c>
      <c r="U22" s="645">
        <v>-697107.71624476532</v>
      </c>
      <c r="V22" s="645">
        <v>-964208.02324402309</v>
      </c>
      <c r="W22" s="645">
        <v>-985471.62206958886</v>
      </c>
      <c r="AA22" s="645" cm="1">
        <f t="array" ref="AA22">LOOKUP(MID($AA$1,1,4),$D$30:$X$30,ROUND(D22:X22,2))</f>
        <v>-985471.62</v>
      </c>
    </row>
    <row r="23" spans="2:27">
      <c r="B23" s="652" t="s">
        <v>524</v>
      </c>
      <c r="C23" s="638" t="s">
        <v>255</v>
      </c>
      <c r="D23" s="645">
        <v>16727.064389533167</v>
      </c>
      <c r="E23" s="645">
        <v>9273.1646446250015</v>
      </c>
      <c r="F23" s="645">
        <v>-16481.820011296124</v>
      </c>
      <c r="G23" s="645">
        <v>-20667.629643388074</v>
      </c>
      <c r="H23" s="645">
        <v>-16083.956938512609</v>
      </c>
      <c r="I23" s="645">
        <v>-15616.979421051868</v>
      </c>
      <c r="J23" s="645">
        <v>-9920.233206288367</v>
      </c>
      <c r="K23" s="645">
        <v>20285.017308959188</v>
      </c>
      <c r="L23" s="645">
        <v>35661.886605434993</v>
      </c>
      <c r="M23" s="645">
        <v>55766.853283900629</v>
      </c>
      <c r="N23" s="645">
        <v>31345.241061791621</v>
      </c>
      <c r="O23" s="645">
        <v>44316.536343288986</v>
      </c>
      <c r="P23" s="645">
        <v>62995.528720446615</v>
      </c>
      <c r="Q23" s="645">
        <v>72349.955243641714</v>
      </c>
      <c r="R23" s="645">
        <v>91992.197223295923</v>
      </c>
      <c r="S23" s="645">
        <v>105998.22557703314</v>
      </c>
      <c r="T23" s="645">
        <v>113568.28494301948</v>
      </c>
      <c r="U23" s="645">
        <v>131143.03832558315</v>
      </c>
      <c r="V23" s="645">
        <v>145048.81574052965</v>
      </c>
      <c r="W23" s="645">
        <v>145931.34068279993</v>
      </c>
      <c r="AA23" s="645" cm="1">
        <f t="array" ref="AA23">LOOKUP(MID($AA$1,1,4),$D$30:$X$30,ROUND(D23:X23,2))</f>
        <v>145931.34</v>
      </c>
    </row>
    <row r="24" spans="2:27" ht="19.5" thickBot="1">
      <c r="B24" s="653"/>
      <c r="C24" s="639" t="s">
        <v>256</v>
      </c>
      <c r="D24" s="645">
        <v>5.2211313277905678</v>
      </c>
      <c r="E24" s="645">
        <v>158.45478400212875</v>
      </c>
      <c r="F24" s="645">
        <v>592.06291732125487</v>
      </c>
      <c r="G24" s="645">
        <v>736.56005373482697</v>
      </c>
      <c r="H24" s="645">
        <v>761.23427135572558</v>
      </c>
      <c r="I24" s="645">
        <v>847.11293162704567</v>
      </c>
      <c r="J24" s="645">
        <v>861.16519781596492</v>
      </c>
      <c r="K24" s="645">
        <v>521.57228218931255</v>
      </c>
      <c r="L24" s="645">
        <v>383.12877705769324</v>
      </c>
      <c r="M24" s="645">
        <v>171.76827275897324</v>
      </c>
      <c r="N24" s="645">
        <v>466.4853381739515</v>
      </c>
      <c r="O24" s="645">
        <v>348.59190662313745</v>
      </c>
      <c r="P24" s="645">
        <v>148.08489398127747</v>
      </c>
      <c r="Q24" s="645">
        <v>65.576371196265058</v>
      </c>
      <c r="R24" s="645">
        <v>-166.72481587769903</v>
      </c>
      <c r="S24" s="645">
        <v>-272.18766202261844</v>
      </c>
      <c r="T24" s="645">
        <v>-292.27629425299369</v>
      </c>
      <c r="U24" s="645">
        <v>-483.19874215278992</v>
      </c>
      <c r="V24" s="645">
        <v>-584.99747220819211</v>
      </c>
      <c r="W24" s="645">
        <v>-599.16447246420353</v>
      </c>
      <c r="AA24" s="645" cm="1">
        <f t="array" ref="AA24">LOOKUP(MID($AA$1,1,4),$D$30:$X$30,ROUND(D24:X24,2))</f>
        <v>-599.16</v>
      </c>
    </row>
    <row r="25" spans="2:27" ht="19.5" thickBot="1"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AA25" s="345"/>
    </row>
    <row r="26" spans="2:27">
      <c r="B26" s="651"/>
      <c r="C26" s="637" t="s">
        <v>254</v>
      </c>
      <c r="D26" s="647">
        <v>13.405295317142867</v>
      </c>
      <c r="E26" s="647">
        <v>13.203903102322474</v>
      </c>
      <c r="F26" s="647">
        <v>12.873487538258249</v>
      </c>
      <c r="G26" s="647">
        <v>12.60529228011751</v>
      </c>
      <c r="H26" s="647">
        <v>12.377058015267576</v>
      </c>
      <c r="I26" s="647">
        <v>12.144684834385878</v>
      </c>
      <c r="J26" s="647">
        <v>11.940800814302563</v>
      </c>
      <c r="K26" s="647">
        <v>11.842857551297882</v>
      </c>
      <c r="L26" s="647">
        <v>11.725462496729062</v>
      </c>
      <c r="M26" s="647">
        <v>11.642928957659148</v>
      </c>
      <c r="N26" s="647">
        <v>11.532250905492871</v>
      </c>
      <c r="O26" s="647">
        <v>11.43606239094628</v>
      </c>
      <c r="P26" s="647">
        <v>11.435198016410281</v>
      </c>
      <c r="Q26" s="647">
        <v>11.385229156700198</v>
      </c>
      <c r="R26" s="647">
        <v>11.35633474858707</v>
      </c>
      <c r="S26" s="647">
        <v>11.304071595599623</v>
      </c>
      <c r="T26" s="647">
        <v>11.34062176119239</v>
      </c>
      <c r="U26" s="647">
        <v>11.301813303430986</v>
      </c>
      <c r="V26" s="647">
        <v>11.183005902066025</v>
      </c>
      <c r="W26" s="647">
        <v>11.19346382582134</v>
      </c>
      <c r="AA26" s="647" cm="1">
        <f t="array" ref="AA26">LOOKUP(MID($AA$1,1,4),$D$30:$X$30,ROUND(D26:X26,2))</f>
        <v>11.19</v>
      </c>
    </row>
    <row r="27" spans="2:27">
      <c r="B27" s="652" t="s">
        <v>525</v>
      </c>
      <c r="C27" s="638" t="s">
        <v>255</v>
      </c>
      <c r="D27" s="647">
        <v>0.30619286753762798</v>
      </c>
      <c r="E27" s="647">
        <v>0.37156424568006613</v>
      </c>
      <c r="F27" s="647">
        <v>0.47594887160019045</v>
      </c>
      <c r="G27" s="647">
        <v>0.56200674394411121</v>
      </c>
      <c r="H27" s="647">
        <v>0.63626122359347059</v>
      </c>
      <c r="I27" s="647">
        <v>0.71183772736732365</v>
      </c>
      <c r="J27" s="647">
        <v>0.77896576959941088</v>
      </c>
      <c r="K27" s="647">
        <v>0.81443859723974388</v>
      </c>
      <c r="L27" s="647">
        <v>0.85554339079296127</v>
      </c>
      <c r="M27" s="647">
        <v>0.88612142377610248</v>
      </c>
      <c r="N27" s="647">
        <v>0.90798704536714314</v>
      </c>
      <c r="O27" s="647">
        <v>0.93936475195483582</v>
      </c>
      <c r="P27" s="647">
        <v>0.9483713832986328</v>
      </c>
      <c r="Q27" s="647">
        <v>0.96818138668662024</v>
      </c>
      <c r="R27" s="647">
        <v>0.97885482221734776</v>
      </c>
      <c r="S27" s="647">
        <v>1.0081589053721729</v>
      </c>
      <c r="T27" s="647">
        <v>1.0174882883753475</v>
      </c>
      <c r="U27" s="647">
        <v>1.0347568123322357</v>
      </c>
      <c r="V27" s="647">
        <v>1.074586716702435</v>
      </c>
      <c r="W27" s="647">
        <v>1.0704973251084777</v>
      </c>
      <c r="AA27" s="647" cm="1">
        <f t="array" ref="AA27">LOOKUP(MID($AA$1,1,4),$D$30:$X$30,ROUND(D27:X27,2))</f>
        <v>1.07</v>
      </c>
    </row>
    <row r="28" spans="2:27" ht="19.5" thickBot="1">
      <c r="B28" s="653"/>
      <c r="C28" s="639" t="s">
        <v>256</v>
      </c>
      <c r="D28" s="647"/>
      <c r="E28" s="647"/>
      <c r="F28" s="647"/>
      <c r="G28" s="647"/>
      <c r="H28" s="647"/>
      <c r="I28" s="647"/>
      <c r="J28" s="647"/>
      <c r="K28" s="647"/>
      <c r="L28" s="647"/>
      <c r="M28" s="647"/>
      <c r="N28" s="647"/>
      <c r="O28" s="647"/>
      <c r="P28" s="647"/>
      <c r="Q28" s="647"/>
      <c r="R28" s="647"/>
      <c r="S28" s="647"/>
      <c r="T28" s="647"/>
      <c r="U28" s="647"/>
      <c r="V28" s="647"/>
      <c r="W28" s="647"/>
      <c r="AA28" s="647" cm="1">
        <f t="array" ref="AA28">LOOKUP(MID($AA$1,1,4),$D$30:$X$30,ROUND(D28:X28,2))</f>
        <v>0</v>
      </c>
    </row>
    <row r="30" spans="2:27">
      <c r="B30" s="608"/>
      <c r="D30" s="609" t="str">
        <f t="shared" ref="D30:M30" si="60">MID(D3,1,4)</f>
        <v>2006</v>
      </c>
      <c r="E30" s="609" t="str">
        <f t="shared" si="60"/>
        <v>2007</v>
      </c>
      <c r="F30" s="609" t="str">
        <f t="shared" si="60"/>
        <v>2008</v>
      </c>
      <c r="G30" s="609" t="str">
        <f t="shared" si="60"/>
        <v>2009</v>
      </c>
      <c r="H30" s="609" t="str">
        <f t="shared" si="60"/>
        <v>2010</v>
      </c>
      <c r="I30" s="609" t="str">
        <f t="shared" si="60"/>
        <v>2011</v>
      </c>
      <c r="J30" s="609" t="str">
        <f t="shared" si="60"/>
        <v>2012</v>
      </c>
      <c r="K30" s="609" t="str">
        <f t="shared" si="60"/>
        <v>2013</v>
      </c>
      <c r="L30" s="609" t="str">
        <f t="shared" si="60"/>
        <v>2014</v>
      </c>
      <c r="M30" s="609" t="str">
        <f t="shared" si="60"/>
        <v>2015</v>
      </c>
      <c r="N30" s="609" t="str">
        <f t="shared" ref="N30:W30" si="61">MID(N3,1,4)</f>
        <v>2016</v>
      </c>
      <c r="O30" s="609" t="str">
        <f t="shared" si="61"/>
        <v>2017</v>
      </c>
      <c r="P30" s="609" t="str">
        <f t="shared" si="61"/>
        <v>2018</v>
      </c>
      <c r="Q30" s="609" t="str">
        <f t="shared" si="61"/>
        <v>2019</v>
      </c>
      <c r="R30" s="609" t="str">
        <f t="shared" si="61"/>
        <v>2020</v>
      </c>
      <c r="S30" s="609" t="str">
        <f t="shared" si="61"/>
        <v>2021</v>
      </c>
      <c r="T30" s="609" t="str">
        <f t="shared" si="61"/>
        <v>2022</v>
      </c>
      <c r="U30" s="609" t="str">
        <f t="shared" si="61"/>
        <v>2023</v>
      </c>
      <c r="V30" s="609" t="str">
        <f t="shared" si="61"/>
        <v>2024</v>
      </c>
      <c r="W30" s="609" t="str">
        <f t="shared" si="61"/>
        <v>2025</v>
      </c>
    </row>
  </sheetData>
  <sheetProtection algorithmName="SHA-512" hashValue="318AAxKySKQmEQ6r9HqXhOIkjAoNDWWxGt6ksIafm2MZ4yh1z6oK0CB8z1vSsZuuIocc03oKB6Vxgc5ixyI1/A==" saltValue="S8DltoEFuTjtqU7EXASLjA==" spinCount="100000" sheet="1" objects="1" scenarios="1"/>
  <conditionalFormatting sqref="D18:W20 D22:W24 D26:W28">
    <cfRule type="cellIs" dxfId="8" priority="2" operator="equal">
      <formula>0</formula>
    </cfRule>
  </conditionalFormatting>
  <conditionalFormatting sqref="AA18:AA20 AA22:AA24 AA26:AA28">
    <cfRule type="cellIs" dxfId="7" priority="1" operator="equal">
      <formula>0</formula>
    </cfRule>
  </conditionalFormatting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S39"/>
  <sheetViews>
    <sheetView showGridLines="0" zoomScale="120" zoomScaleNormal="120" workbookViewId="0">
      <selection activeCell="B19" sqref="B19"/>
    </sheetView>
  </sheetViews>
  <sheetFormatPr baseColWidth="10" defaultColWidth="10.7109375" defaultRowHeight="12.75"/>
  <cols>
    <col min="1" max="1" width="24.7109375" bestFit="1" customWidth="1"/>
    <col min="2" max="2" width="9" bestFit="1" customWidth="1"/>
    <col min="3" max="3" width="4.85546875" customWidth="1"/>
    <col min="4" max="4" width="25.7109375" customWidth="1"/>
    <col min="5" max="5" width="12.140625" bestFit="1" customWidth="1"/>
    <col min="6" max="7" width="8.28515625" customWidth="1"/>
    <col min="8" max="8" width="20.42578125" customWidth="1"/>
    <col min="9" max="9" width="6.7109375" bestFit="1" customWidth="1"/>
    <col min="10" max="10" width="10.7109375" bestFit="1" customWidth="1"/>
    <col min="11" max="11" width="10.7109375" customWidth="1"/>
    <col min="12" max="12" width="8.7109375" customWidth="1"/>
    <col min="13" max="16" width="10.28515625" customWidth="1"/>
    <col min="17" max="17" width="7.28515625" customWidth="1"/>
  </cols>
  <sheetData>
    <row r="1" spans="1:19" ht="19.5">
      <c r="A1" s="34"/>
      <c r="B1" s="34"/>
      <c r="C1" s="34"/>
      <c r="D1" s="376" t="s">
        <v>78</v>
      </c>
      <c r="E1" s="377"/>
      <c r="F1" s="377"/>
      <c r="G1" s="377"/>
      <c r="H1" s="377"/>
      <c r="I1" s="377"/>
      <c r="J1" s="377"/>
    </row>
    <row r="2" spans="1:19" ht="19.5" customHeight="1" thickBot="1">
      <c r="A2" s="601" t="s">
        <v>107</v>
      </c>
      <c r="B2" s="602" t="s">
        <v>145</v>
      </c>
      <c r="C2" s="34"/>
      <c r="D2" s="376" t="s">
        <v>257</v>
      </c>
      <c r="E2" s="377"/>
      <c r="F2" s="377"/>
      <c r="G2" s="377"/>
      <c r="H2" s="377"/>
      <c r="I2" s="377"/>
      <c r="J2" s="377"/>
      <c r="O2" s="554"/>
      <c r="P2" s="554"/>
      <c r="Q2" s="554"/>
      <c r="R2" s="554"/>
      <c r="S2" s="554"/>
    </row>
    <row r="3" spans="1:19" ht="13.5" thickBot="1">
      <c r="A3" s="378"/>
      <c r="B3" s="378"/>
      <c r="C3" s="34"/>
      <c r="D3" s="378"/>
      <c r="E3" s="378"/>
      <c r="F3" s="378"/>
      <c r="G3" s="378"/>
      <c r="H3" s="378"/>
      <c r="I3" s="378"/>
      <c r="J3" s="378"/>
      <c r="M3" s="216" t="s">
        <v>229</v>
      </c>
      <c r="N3" s="218" t="s">
        <v>230</v>
      </c>
      <c r="O3" s="217" t="s">
        <v>408</v>
      </c>
      <c r="P3" s="553"/>
      <c r="Q3" s="181" t="s">
        <v>211</v>
      </c>
      <c r="R3" s="182">
        <f>2/3</f>
        <v>0.66666666666666663</v>
      </c>
    </row>
    <row r="4" spans="1:19" ht="13.5" thickBot="1">
      <c r="A4" s="378" t="s">
        <v>1</v>
      </c>
      <c r="B4" s="379">
        <f>IF('BASE (MO)'!D20=1,ROUND(AVERAGE('BASE (MO)'!$E$12:$F$12),1),0)</f>
        <v>24.7</v>
      </c>
      <c r="C4" s="34"/>
      <c r="D4" s="378" t="s">
        <v>146</v>
      </c>
      <c r="E4" s="380">
        <f>B16</f>
        <v>340.6</v>
      </c>
      <c r="F4" s="378"/>
      <c r="G4" s="378"/>
      <c r="H4" s="378" t="s">
        <v>29</v>
      </c>
      <c r="I4" s="378"/>
      <c r="J4" s="381">
        <f>TECNICO!C8</f>
        <v>5000</v>
      </c>
      <c r="L4" s="95" t="s">
        <v>535</v>
      </c>
      <c r="M4" s="219" t="s">
        <v>271</v>
      </c>
      <c r="N4" s="524">
        <f>AVERAGE(N6:N7)</f>
        <v>1710016.8979999996</v>
      </c>
      <c r="O4" s="525">
        <f>AVERAGE(O6:O7)</f>
        <v>1612737.675</v>
      </c>
      <c r="Q4" s="183" t="s">
        <v>212</v>
      </c>
      <c r="R4" s="184">
        <f>1-R3</f>
        <v>0.33333333333333337</v>
      </c>
    </row>
    <row r="5" spans="1:19" ht="13.5" thickBot="1">
      <c r="A5" s="378" t="s">
        <v>2</v>
      </c>
      <c r="B5" s="379">
        <f>IF('BASE (MO)'!D20=1,ROUND('BASE (MO)'!$L$11,1),0)</f>
        <v>48.3</v>
      </c>
      <c r="C5" s="34"/>
      <c r="D5" s="378" t="s">
        <v>190</v>
      </c>
      <c r="E5" s="382">
        <f>IF(UNIT!Z1=1,UNIT!AD7,UNIT!AF7)</f>
        <v>1675.253615112352</v>
      </c>
      <c r="F5" s="378"/>
      <c r="G5" s="378"/>
      <c r="H5" s="378" t="s">
        <v>249</v>
      </c>
      <c r="I5" s="378"/>
      <c r="J5" s="379">
        <f>TECNICO!M4</f>
        <v>40</v>
      </c>
      <c r="L5" s="759">
        <v>1</v>
      </c>
      <c r="R5" s="259">
        <f>SUM(E12:E13)</f>
        <v>990</v>
      </c>
    </row>
    <row r="6" spans="1:19" ht="13.5" thickBot="1">
      <c r="A6" s="378" t="s">
        <v>3</v>
      </c>
      <c r="B6" s="379">
        <f>IF(TECNICO!$G$4=2,0,IF('BASE (MO)'!U23=1,ROUND('BASE (MO)'!$U$11,1),0))</f>
        <v>44.1</v>
      </c>
      <c r="C6" s="34"/>
      <c r="D6" s="378" t="s">
        <v>30</v>
      </c>
      <c r="E6" s="383">
        <f>IF(L6="11",UNIT!AD8,IF(L6="12",UNIT!AD9,IF(L6="21",UNIT!AF8,UNIT!AF9)))</f>
        <v>0.45450000000000002</v>
      </c>
      <c r="F6" s="378"/>
      <c r="G6" s="378"/>
      <c r="H6" s="384" t="s">
        <v>250</v>
      </c>
      <c r="I6" s="385"/>
      <c r="J6" s="386">
        <f>O4*46/N4</f>
        <v>43.383157872162741</v>
      </c>
      <c r="L6" s="15" t="str">
        <f>_xlfn.CONCAT(UNIT!Z1,L5)</f>
        <v>21</v>
      </c>
      <c r="M6" s="220" t="s">
        <v>553</v>
      </c>
      <c r="N6" s="523">
        <v>1607405.8109999995</v>
      </c>
      <c r="O6" s="523">
        <v>1510329.55</v>
      </c>
    </row>
    <row r="7" spans="1:19">
      <c r="A7" s="378" t="s">
        <v>83</v>
      </c>
      <c r="B7" s="379">
        <f>ROUND(6*($J$4*$J$10)/(60),1)</f>
        <v>0</v>
      </c>
      <c r="C7" s="34"/>
      <c r="D7" s="378" t="s">
        <v>79</v>
      </c>
      <c r="E7" s="387">
        <v>6.3382361182239499</v>
      </c>
      <c r="F7" s="378"/>
      <c r="G7" s="378"/>
      <c r="H7" s="378" t="s">
        <v>86</v>
      </c>
      <c r="I7" s="378"/>
      <c r="J7" s="388">
        <f>ROUND(SUM('BASE (MO)'!E10:F10)/SUM('BASE (MO)'!E11:F11),3)</f>
        <v>0.19700000000000001</v>
      </c>
      <c r="M7" s="220" t="str">
        <f>_xlfn.CONCAT(MID(M6,1,4)+1,"-",MID(MID(M6,1,4)+2,3,2))</f>
        <v>2024-25</v>
      </c>
      <c r="N7" s="523">
        <v>1812627.9849999999</v>
      </c>
      <c r="O7" s="523">
        <v>1715145.8</v>
      </c>
    </row>
    <row r="8" spans="1:19">
      <c r="A8" s="378" t="s">
        <v>84</v>
      </c>
      <c r="B8" s="379">
        <f>ROUND(TECNICO!Q9,1)</f>
        <v>25.3</v>
      </c>
      <c r="C8" s="34"/>
      <c r="D8" s="378" t="s">
        <v>105</v>
      </c>
      <c r="E8" s="389">
        <v>0.73</v>
      </c>
      <c r="F8" s="378"/>
      <c r="G8" s="378"/>
      <c r="H8" s="378" t="s">
        <v>28</v>
      </c>
      <c r="I8" s="378"/>
      <c r="J8" s="379">
        <v>14.6</v>
      </c>
    </row>
    <row r="9" spans="1:19">
      <c r="A9" s="378" t="s">
        <v>5</v>
      </c>
      <c r="B9" s="379">
        <f>ROUND(0.1734*POWER($E$14,0.6245),1)</f>
        <v>12.1</v>
      </c>
      <c r="C9" s="34"/>
      <c r="D9" s="378" t="s">
        <v>149</v>
      </c>
      <c r="E9" s="382">
        <f>ROUND(IF(UNIT!Z1=1,UNIT!AD74*20,UNIT!AF74*20),2)</f>
        <v>31692.18</v>
      </c>
      <c r="F9" s="378"/>
      <c r="G9" s="378"/>
      <c r="H9" s="378"/>
      <c r="I9" s="378"/>
      <c r="J9" s="378"/>
    </row>
    <row r="10" spans="1:19">
      <c r="A10" s="378" t="s">
        <v>6</v>
      </c>
      <c r="B10" s="379">
        <f>ROUND(ATOM!F5,1)</f>
        <v>64.2</v>
      </c>
      <c r="C10" s="34"/>
      <c r="D10" s="378"/>
      <c r="E10" s="378"/>
      <c r="F10" s="378"/>
      <c r="G10" s="378"/>
      <c r="H10" s="378" t="s">
        <v>26</v>
      </c>
      <c r="I10" s="378"/>
      <c r="J10" s="388">
        <v>0</v>
      </c>
      <c r="M10" s="256"/>
    </row>
    <row r="11" spans="1:19" ht="18" customHeight="1">
      <c r="A11" s="378" t="s">
        <v>7</v>
      </c>
      <c r="B11" s="379">
        <f>ROUND('BASE (MO)'!$Y$11,1)</f>
        <v>26.7</v>
      </c>
      <c r="C11" s="34"/>
      <c r="D11" s="390" t="s">
        <v>32</v>
      </c>
      <c r="E11" s="382"/>
      <c r="F11" s="378"/>
      <c r="G11" s="378"/>
      <c r="H11" s="378" t="s">
        <v>133</v>
      </c>
      <c r="I11" s="378"/>
      <c r="J11" s="391">
        <f>IF(UNIT!Z1=1,UNIT!AD29,UNIT!AF29)</f>
        <v>302.78305889332972</v>
      </c>
      <c r="L11" s="758" t="s">
        <v>429</v>
      </c>
      <c r="M11" s="543" t="str">
        <f>_xlfn.CONCAT("  =&gt; Fincas de ",LOOKUP(L11,M24:P24,M16:P16)," ha")</f>
        <v xml:space="preserve">  =&gt; Fincas de 1.5 a 6.0 ha</v>
      </c>
    </row>
    <row r="12" spans="1:19" ht="12.75" customHeight="1">
      <c r="A12" s="378" t="s">
        <v>8</v>
      </c>
      <c r="B12" s="379">
        <f>ROUND('BASE (MO)'!AI5,1)</f>
        <v>41.6</v>
      </c>
      <c r="C12" s="34"/>
      <c r="D12" s="392" t="s">
        <v>179</v>
      </c>
      <c r="E12" s="380">
        <f>ROUND(IF(TECNICO!K10="22",SUM(TECNICO!N13,TECNICO!O13,TECNICO!N21),SUM(TECNICO!N13,TECNICO!O13)),1)</f>
        <v>765</v>
      </c>
      <c r="F12" s="382"/>
      <c r="G12" s="378"/>
      <c r="H12" s="378"/>
      <c r="I12" s="378"/>
      <c r="J12" s="378"/>
      <c r="L12" s="792" t="s">
        <v>441</v>
      </c>
      <c r="M12" s="793"/>
      <c r="N12" s="793"/>
      <c r="O12" s="793"/>
      <c r="P12" s="794"/>
    </row>
    <row r="13" spans="1:19">
      <c r="A13" s="378" t="s">
        <v>9</v>
      </c>
      <c r="B13" s="379">
        <f>ROUND(ATOM!D5*POWER((AVERAGE(500,700)/200),ATOM!D6),1)</f>
        <v>23</v>
      </c>
      <c r="C13" s="34"/>
      <c r="D13" s="392" t="s">
        <v>180</v>
      </c>
      <c r="E13" s="380">
        <f>ROUND(IF(TECNICO!K10="22",0,TECNICO!N21),1)</f>
        <v>225</v>
      </c>
      <c r="F13" s="387"/>
      <c r="G13" s="378"/>
      <c r="H13" s="393" t="s">
        <v>33</v>
      </c>
      <c r="I13" s="393"/>
      <c r="J13" s="388"/>
      <c r="L13" s="795"/>
      <c r="M13" s="796"/>
      <c r="N13" s="796"/>
      <c r="O13" s="796"/>
      <c r="P13" s="797"/>
    </row>
    <row r="14" spans="1:19" ht="13.5" thickBot="1">
      <c r="A14" s="378" t="s">
        <v>108</v>
      </c>
      <c r="B14" s="379">
        <f>ROUND(2*(2.417153662468)*$E$7,1)</f>
        <v>30.6</v>
      </c>
      <c r="C14" s="34"/>
      <c r="D14" s="392" t="s">
        <v>181</v>
      </c>
      <c r="E14" s="380">
        <f>ROUND(20*45,1)</f>
        <v>900</v>
      </c>
      <c r="F14" s="387"/>
      <c r="G14" s="378"/>
      <c r="H14" s="392" t="s">
        <v>34</v>
      </c>
      <c r="I14" s="394"/>
      <c r="J14" s="395">
        <f>ROUND(SUM(ATOM!F13,ATOM!F15,ATOM!F19),3)</f>
        <v>2.286</v>
      </c>
    </row>
    <row r="15" spans="1:19" ht="13.5" thickBot="1">
      <c r="A15" s="378"/>
      <c r="B15" s="378"/>
      <c r="C15" s="34"/>
      <c r="D15" s="394"/>
      <c r="E15" s="382"/>
      <c r="F15" s="378"/>
      <c r="G15" s="378"/>
      <c r="H15" s="392" t="s">
        <v>272</v>
      </c>
      <c r="I15" s="394"/>
      <c r="J15" s="396">
        <f>ROUND(SUM(ATOM!F12,ATOM!F18),3)</f>
        <v>0.68600000000000005</v>
      </c>
      <c r="L15" s="571"/>
      <c r="M15" s="572" t="s">
        <v>428</v>
      </c>
      <c r="N15" s="573"/>
      <c r="O15" s="573"/>
      <c r="P15" s="574"/>
    </row>
    <row r="16" spans="1:19" ht="18.75" thickBot="1">
      <c r="A16" s="601" t="s">
        <v>144</v>
      </c>
      <c r="B16" s="603">
        <f>SUM(B4:B14)</f>
        <v>340.6</v>
      </c>
      <c r="C16" s="34"/>
      <c r="D16" s="393" t="s">
        <v>31</v>
      </c>
      <c r="E16" s="382"/>
      <c r="F16" s="378"/>
      <c r="G16" s="378"/>
      <c r="H16" s="392" t="s">
        <v>273</v>
      </c>
      <c r="I16" s="394"/>
      <c r="J16" s="396">
        <f>ROUND(SUM(ATOM!F17,ATOM!F20),3)</f>
        <v>2</v>
      </c>
      <c r="L16" s="578" t="s">
        <v>215</v>
      </c>
      <c r="M16" s="579" t="s">
        <v>433</v>
      </c>
      <c r="N16" s="580" t="s">
        <v>434</v>
      </c>
      <c r="O16" s="580" t="s">
        <v>435</v>
      </c>
      <c r="P16" s="581" t="s">
        <v>436</v>
      </c>
    </row>
    <row r="17" spans="1:16">
      <c r="A17" s="34"/>
      <c r="B17" s="34"/>
      <c r="C17" s="34"/>
      <c r="D17" s="392" t="s">
        <v>440</v>
      </c>
      <c r="E17" s="382">
        <f>LOOKUP($L$11,$M$24:$P$24,M17:P17)</f>
        <v>14.757300000000001</v>
      </c>
      <c r="F17" s="378"/>
      <c r="G17" s="378"/>
      <c r="H17" s="392" t="s">
        <v>551</v>
      </c>
      <c r="I17" s="394"/>
      <c r="J17" s="395">
        <f>ROUND(ATOM!F16,3)</f>
        <v>0.57099999999999995</v>
      </c>
      <c r="L17" s="571" t="s">
        <v>442</v>
      </c>
      <c r="M17" s="575">
        <f>IF(UNIT!Z1=1,UNIT!AD57,UNIT!AF57)</f>
        <v>14.757300000000001</v>
      </c>
      <c r="N17" s="576">
        <f>IF(UNIT!Z1=1,UNIT!AD58,UNIT!AF58)</f>
        <v>10.3551</v>
      </c>
      <c r="O17" s="576">
        <f>IF(UNIT!Z1=1,UNIT!AD59,UNIT!AF59)</f>
        <v>6.9218999999999999</v>
      </c>
      <c r="P17" s="577">
        <f>IF(UNIT!Z1=1,UNIT!AD60,UNIT!AF60)</f>
        <v>4.6539000000000001</v>
      </c>
    </row>
    <row r="18" spans="1:16">
      <c r="A18" s="34"/>
      <c r="B18" s="260"/>
      <c r="C18" s="34"/>
      <c r="D18" s="552" t="s">
        <v>133</v>
      </c>
      <c r="E18" s="382">
        <f>LOOKUP($L$11,$M$24:$P$24,M18:P18)</f>
        <v>26.593499999999999</v>
      </c>
      <c r="F18" s="378"/>
      <c r="G18" s="378"/>
      <c r="H18" s="392" t="s">
        <v>116</v>
      </c>
      <c r="I18" s="394"/>
      <c r="J18" s="396">
        <f>ROUND(ATOM!F14,3)</f>
        <v>2.613</v>
      </c>
      <c r="L18" s="582" t="s">
        <v>217</v>
      </c>
      <c r="M18" s="545">
        <f>IF(UNIT!Z1=1,UNIT!AD63,UNIT!AF63)</f>
        <v>26.593499999999999</v>
      </c>
      <c r="N18" s="546">
        <f>IF(UNIT!Z1=1,UNIT!AD64,UNIT!AF64)</f>
        <v>13.9285</v>
      </c>
      <c r="O18" s="546">
        <f>IF(UNIT!Z1=1,UNIT!AD65,UNIT!AF65)</f>
        <v>16.330500000000001</v>
      </c>
      <c r="P18" s="547">
        <f>IF(UNIT!Z1=1,UNIT!AD66,UNIT!AF66)</f>
        <v>11.0756</v>
      </c>
    </row>
    <row r="19" spans="1:16" ht="13.5" thickBot="1">
      <c r="A19" s="34"/>
      <c r="B19" s="34"/>
      <c r="C19" s="34"/>
      <c r="D19" s="392" t="s">
        <v>251</v>
      </c>
      <c r="E19" s="382">
        <f>LOOKUP($L$11,$M$24:$P$24,M19:P19)</f>
        <v>1745.8784000000001</v>
      </c>
      <c r="F19" s="378"/>
      <c r="G19" s="378"/>
      <c r="H19" s="393"/>
      <c r="I19" s="393"/>
      <c r="J19" s="397"/>
      <c r="L19" s="578" t="s">
        <v>218</v>
      </c>
      <c r="M19" s="548">
        <f>IF(UNIT!Z1=1,UNIT!AD69,UNIT!AF69)</f>
        <v>1745.8784000000001</v>
      </c>
      <c r="N19" s="549">
        <f>IF(UNIT!Z1=1,UNIT!AD70,UNIT!AF70)</f>
        <v>2101.2930999999999</v>
      </c>
      <c r="O19" s="549">
        <f>IF(UNIT!Z1=1,UNIT!AD71,UNIT!AF71)</f>
        <v>2282.3411000000001</v>
      </c>
      <c r="P19" s="550">
        <f>IF(UNIT!Z1=1,UNIT!AD72,UNIT!AF72)</f>
        <v>1690.3579</v>
      </c>
    </row>
    <row r="20" spans="1:16" ht="13.5" thickBot="1">
      <c r="A20" s="34"/>
      <c r="B20" s="63"/>
      <c r="C20" s="34"/>
      <c r="D20" s="394"/>
      <c r="E20" s="391"/>
      <c r="F20" s="378"/>
      <c r="G20" s="378"/>
      <c r="H20" s="393" t="s">
        <v>35</v>
      </c>
      <c r="I20" s="393"/>
      <c r="J20" s="391"/>
      <c r="L20" s="571"/>
    </row>
    <row r="21" spans="1:16" ht="13.5" thickBot="1">
      <c r="A21" s="34"/>
      <c r="B21" s="254"/>
      <c r="C21" s="34"/>
      <c r="D21" s="390" t="s">
        <v>55</v>
      </c>
      <c r="E21" s="391"/>
      <c r="F21" s="398" t="s">
        <v>98</v>
      </c>
      <c r="G21" s="378"/>
      <c r="H21" s="392" t="s">
        <v>85</v>
      </c>
      <c r="I21" s="394"/>
      <c r="J21" s="395">
        <f>ROUND('BASE (MO)'!AI13,3)</f>
        <v>6</v>
      </c>
      <c r="L21" s="571"/>
      <c r="M21" s="531"/>
      <c r="N21" s="531"/>
      <c r="O21" s="531"/>
      <c r="P21" s="531"/>
    </row>
    <row r="22" spans="1:16">
      <c r="A22" s="34"/>
      <c r="B22" s="34"/>
      <c r="C22" s="34"/>
      <c r="D22" s="392" t="s">
        <v>192</v>
      </c>
      <c r="E22" s="399">
        <f ca="1">INVENT!J6</f>
        <v>468668.06436636311</v>
      </c>
      <c r="F22" s="400">
        <f>INVENT!A6</f>
        <v>2.46E-2</v>
      </c>
      <c r="G22" s="378"/>
      <c r="H22" s="552" t="s">
        <v>550</v>
      </c>
      <c r="I22" s="394"/>
      <c r="J22" s="396">
        <v>0</v>
      </c>
      <c r="L22" s="571"/>
    </row>
    <row r="23" spans="1:16" ht="13.5" thickBot="1">
      <c r="A23" s="34"/>
      <c r="B23" s="34"/>
      <c r="C23" s="34"/>
      <c r="D23" s="392" t="s">
        <v>134</v>
      </c>
      <c r="E23" s="399">
        <f ca="1">INVENT!J10</f>
        <v>1623507.6782564165</v>
      </c>
      <c r="F23" s="401">
        <f ca="1">INVENT!A10</f>
        <v>5.4799999999999995E-2</v>
      </c>
      <c r="G23" s="378"/>
      <c r="H23" s="392" t="s">
        <v>116</v>
      </c>
      <c r="I23" s="394"/>
      <c r="J23" s="395">
        <f>ROUND('BASE (MO)'!AI14,3)</f>
        <v>2.3250000000000002</v>
      </c>
      <c r="L23" s="571"/>
      <c r="M23" s="531"/>
      <c r="N23" s="531"/>
      <c r="O23" s="531"/>
      <c r="P23" s="531"/>
    </row>
    <row r="24" spans="1:16" ht="14.25" thickTop="1" thickBot="1">
      <c r="A24" s="34"/>
      <c r="B24" s="34"/>
      <c r="C24" s="34"/>
      <c r="D24" s="392" t="s">
        <v>135</v>
      </c>
      <c r="E24" s="399">
        <f ca="1">INVENT!J15</f>
        <v>151143.91427849414</v>
      </c>
      <c r="F24" s="401">
        <f>INVENT!A15</f>
        <v>2.4199999999999999E-2</v>
      </c>
      <c r="G24" s="378"/>
      <c r="H24" s="393"/>
      <c r="I24" s="393"/>
      <c r="J24" s="378"/>
      <c r="L24" s="571"/>
      <c r="M24" s="555" t="s">
        <v>429</v>
      </c>
      <c r="N24" s="556" t="s">
        <v>430</v>
      </c>
      <c r="O24" s="556" t="s">
        <v>431</v>
      </c>
      <c r="P24" s="557" t="s">
        <v>432</v>
      </c>
    </row>
    <row r="25" spans="1:16" ht="14.25" thickTop="1" thickBot="1">
      <c r="A25" s="34"/>
      <c r="B25" s="34"/>
      <c r="C25" s="34"/>
      <c r="D25" s="392" t="s">
        <v>136</v>
      </c>
      <c r="E25" s="399">
        <f ca="1">INVENT!J21</f>
        <v>73965.603192915223</v>
      </c>
      <c r="F25" s="402">
        <f>INVENT!A21</f>
        <v>9.7000000000000003E-3</v>
      </c>
      <c r="G25" s="378"/>
      <c r="H25" s="393" t="s">
        <v>384</v>
      </c>
      <c r="I25" s="403" t="s">
        <v>119</v>
      </c>
      <c r="J25" s="403" t="s">
        <v>120</v>
      </c>
      <c r="L25" s="571"/>
      <c r="M25" s="531"/>
      <c r="N25" s="531"/>
      <c r="O25" s="531"/>
      <c r="P25" s="551"/>
    </row>
    <row r="26" spans="1:16">
      <c r="A26" s="34"/>
      <c r="B26" s="34"/>
      <c r="C26" s="34"/>
      <c r="D26" s="378"/>
      <c r="E26" s="378"/>
      <c r="F26" s="378"/>
      <c r="G26" s="378"/>
      <c r="H26" s="392" t="s">
        <v>118</v>
      </c>
      <c r="I26" s="404">
        <v>0</v>
      </c>
      <c r="J26" s="405">
        <v>0</v>
      </c>
      <c r="L26" s="571"/>
      <c r="M26" s="531"/>
      <c r="N26" s="531"/>
      <c r="O26" s="531"/>
      <c r="P26" s="531"/>
    </row>
    <row r="27" spans="1:16" ht="13.5" thickBot="1">
      <c r="A27" s="34"/>
      <c r="B27" s="34"/>
      <c r="C27" s="34"/>
      <c r="D27" s="393" t="s">
        <v>99</v>
      </c>
      <c r="E27" s="406" t="s">
        <v>113</v>
      </c>
      <c r="F27" s="378"/>
      <c r="G27" s="378"/>
      <c r="H27" s="392" t="s">
        <v>269</v>
      </c>
      <c r="I27" s="404">
        <f>AVERAGE(2,0.8)</f>
        <v>1.4</v>
      </c>
      <c r="J27" s="405">
        <f>1-J26</f>
        <v>1</v>
      </c>
      <c r="L27" s="571"/>
      <c r="M27" s="531"/>
      <c r="N27" s="531"/>
      <c r="O27" s="531"/>
      <c r="P27" s="531"/>
    </row>
    <row r="28" spans="1:16" ht="13.5" thickBot="1">
      <c r="A28" s="34"/>
      <c r="B28" s="34"/>
      <c r="C28" s="34"/>
      <c r="D28" s="392" t="s">
        <v>100</v>
      </c>
      <c r="E28" s="382">
        <f>IF(AGOT!AA6&gt;AGOT!AA15,AGOT!AA15,AGOT!AA6)</f>
        <v>2989931.28</v>
      </c>
      <c r="F28" s="378"/>
      <c r="G28" s="378"/>
      <c r="H28" s="378"/>
      <c r="I28" s="378"/>
      <c r="J28" s="378"/>
      <c r="L28" s="571"/>
      <c r="M28" s="572" t="s">
        <v>428</v>
      </c>
      <c r="N28" s="573"/>
      <c r="O28" s="573"/>
      <c r="P28" s="574"/>
    </row>
    <row r="29" spans="1:16" ht="13.5" thickBot="1">
      <c r="A29" s="34"/>
      <c r="B29" s="34"/>
      <c r="C29" s="34"/>
      <c r="D29" s="392" t="s">
        <v>101</v>
      </c>
      <c r="E29" s="382">
        <f>IF(AGOT!AA7&gt;AGOT!AA16,AGOT!AA16,AGOT!AA7)</f>
        <v>827651.13000000035</v>
      </c>
      <c r="F29" s="378"/>
      <c r="G29" s="378"/>
      <c r="H29" s="390" t="s">
        <v>137</v>
      </c>
      <c r="I29" s="390"/>
      <c r="J29" s="378"/>
      <c r="L29" s="578" t="s">
        <v>443</v>
      </c>
      <c r="M29" s="579" t="s">
        <v>433</v>
      </c>
      <c r="N29" s="580" t="s">
        <v>434</v>
      </c>
      <c r="O29" s="580" t="s">
        <v>435</v>
      </c>
      <c r="P29" s="581" t="s">
        <v>436</v>
      </c>
    </row>
    <row r="30" spans="1:16">
      <c r="A30" s="34"/>
      <c r="B30" s="34"/>
      <c r="C30" s="34"/>
      <c r="D30" s="394"/>
      <c r="E30" s="382"/>
      <c r="F30" s="378"/>
      <c r="G30" s="378"/>
      <c r="H30" s="392" t="s">
        <v>191</v>
      </c>
      <c r="I30" s="394"/>
      <c r="J30" s="407">
        <f>LOOKUP($L$11,$M$24:$P$24,M30:P30)</f>
        <v>26880.79</v>
      </c>
      <c r="L30" s="571" t="s">
        <v>444</v>
      </c>
      <c r="M30" s="575">
        <f>IF(UNIT!Z1=1,UNIT!AD117,UNIT!AF117)</f>
        <v>26880.79</v>
      </c>
      <c r="N30" s="576">
        <f>IF(UNIT!Z1=1,UNIT!AD118,UNIT!AF118)</f>
        <v>29540.799999999999</v>
      </c>
      <c r="O30" s="576">
        <f>IF(UNIT!Z1=1,UNIT!AD119,UNIT!AF119)</f>
        <v>16031.52</v>
      </c>
      <c r="P30" s="577">
        <f>IF(UNIT!Z1=1,UNIT!AD120,UNIT!AF120)</f>
        <v>16533.68</v>
      </c>
    </row>
    <row r="31" spans="1:16">
      <c r="A31" s="34"/>
      <c r="B31" s="34"/>
      <c r="C31" s="34"/>
      <c r="D31" s="390" t="s">
        <v>52</v>
      </c>
      <c r="E31" s="382"/>
      <c r="F31" s="378"/>
      <c r="G31" s="378"/>
      <c r="H31" s="392" t="s">
        <v>126</v>
      </c>
      <c r="I31" s="394"/>
      <c r="J31" s="407">
        <f>LOOKUP($L$11,$M$24:$P$24,M31:P31)</f>
        <v>0</v>
      </c>
      <c r="L31" s="582" t="s">
        <v>126</v>
      </c>
      <c r="M31" s="545">
        <f>IF(UNIT!Z1=1,UNIT!AD123,UNIT!AF123)</f>
        <v>0</v>
      </c>
      <c r="N31" s="546">
        <f>IF(UNIT!Z1=1,UNIT!AD124,UNIT!AF124)</f>
        <v>9226.6299999999992</v>
      </c>
      <c r="O31" s="546">
        <f>IF(UNIT!Z1=1,UNIT!AD125,UNIT!AF125)</f>
        <v>7045.46</v>
      </c>
      <c r="P31" s="547">
        <f>IF(UNIT!Z1=1,UNIT!AD126,UNIT!AF126)</f>
        <v>4662.1899999999996</v>
      </c>
    </row>
    <row r="32" spans="1:16" ht="13.5" thickBot="1">
      <c r="A32" s="34"/>
      <c r="B32" s="34"/>
      <c r="C32" s="34"/>
      <c r="D32" s="392" t="s">
        <v>53</v>
      </c>
      <c r="E32" s="408">
        <v>20</v>
      </c>
      <c r="F32" s="378"/>
      <c r="G32" s="378"/>
      <c r="H32" s="392" t="s">
        <v>127</v>
      </c>
      <c r="I32" s="394"/>
      <c r="J32" s="407">
        <f>LOOKUP($L$11,$M$24:$P$24,M32:P32)</f>
        <v>25613.63</v>
      </c>
      <c r="L32" s="578" t="s">
        <v>127</v>
      </c>
      <c r="M32" s="548">
        <f>IF(UNIT!Z1=1,UNIT!AD129,UNIT!AF129)</f>
        <v>25613.63</v>
      </c>
      <c r="N32" s="549">
        <f>IF(UNIT!Z1=1,UNIT!AD130,UNIT!AF130)</f>
        <v>21870.01</v>
      </c>
      <c r="O32" s="549">
        <f>IF(UNIT!Z1=1,UNIT!AD131,UNIT!AF131)</f>
        <v>20670.04</v>
      </c>
      <c r="P32" s="550">
        <f>IF(UNIT!Z1=1,UNIT!AD132,UNIT!AF132)</f>
        <v>10578.33</v>
      </c>
    </row>
    <row r="33" spans="1:10">
      <c r="A33" s="34"/>
      <c r="B33" s="34"/>
      <c r="C33" s="34"/>
      <c r="D33" s="392" t="s">
        <v>195</v>
      </c>
      <c r="E33" s="408">
        <v>40</v>
      </c>
      <c r="F33" s="378"/>
      <c r="G33" s="378"/>
      <c r="H33" s="378"/>
      <c r="I33" s="378"/>
      <c r="J33" s="378"/>
    </row>
    <row r="34" spans="1:10">
      <c r="A34" s="34"/>
      <c r="B34" s="34"/>
      <c r="C34" s="34"/>
      <c r="D34" s="392" t="s">
        <v>54</v>
      </c>
      <c r="E34" s="408">
        <v>10</v>
      </c>
      <c r="F34" s="378"/>
      <c r="G34" s="378"/>
      <c r="H34" s="378" t="s">
        <v>138</v>
      </c>
      <c r="I34" s="378"/>
      <c r="J34" s="391">
        <f ca="1">ROUND(Cronograma!AI74,2)</f>
        <v>499.41</v>
      </c>
    </row>
    <row r="35" spans="1:10" ht="9.75" customHeight="1">
      <c r="A35" s="34"/>
      <c r="B35" s="34"/>
      <c r="C35" s="34"/>
      <c r="D35" s="378"/>
      <c r="E35" s="378"/>
      <c r="F35" s="378"/>
      <c r="G35" s="378"/>
      <c r="H35" s="394"/>
      <c r="I35" s="394"/>
      <c r="J35" s="394"/>
    </row>
    <row r="36" spans="1:10" s="34" customFormat="1" ht="19.5" customHeight="1">
      <c r="D36" s="598" t="str">
        <f>_xlfn.CONCAT("Cosecha ",IF(UNIT!Z1=1,UNIT!AD3,UNIT!AF3),"-",IF(UNIT!Z1=1,UNIT!AD3+1,UNIT!AF3+1))</f>
        <v>Cosecha 2026-2027</v>
      </c>
      <c r="E36" s="599"/>
      <c r="F36" s="599"/>
      <c r="G36" s="599"/>
      <c r="H36" s="599"/>
      <c r="I36" s="599"/>
      <c r="J36" s="600" t="s">
        <v>266</v>
      </c>
    </row>
    <row r="38" spans="1:10">
      <c r="E38" s="1"/>
    </row>
    <row r="39" spans="1:10">
      <c r="E39" s="1"/>
    </row>
  </sheetData>
  <sheetProtection algorithmName="SHA-512" hashValue="AkSS7enqVHAG6LJCvZVK2WvFa6IGSESRRBOYa2RFSm9arxp3PDzBu4WgT6fgubGEXHmV15KK9aGKrU72aEPxSQ==" saltValue="aI3zxj5EixlVCh/P5qFnUw==" spinCount="100000" sheet="1" objects="1" scenarios="1"/>
  <mergeCells count="1">
    <mergeCell ref="L12:P13"/>
  </mergeCells>
  <phoneticPr fontId="5" type="noConversion"/>
  <dataValidations count="2">
    <dataValidation type="decimal" allowBlank="1" showInputMessage="1" showErrorMessage="1" errorTitle="Fuera de Rango" error="Debe digitar un NÚMERO entre 35 y 70, admite DECIMALES." sqref="J5" xr:uid="{A9391AD3-C46A-44ED-8C87-92959D1067D1}">
      <formula1>35</formula1>
      <formula2>100</formula2>
    </dataValidation>
    <dataValidation type="list" allowBlank="1" showInputMessage="1" showErrorMessage="1" error="Solo puede digitar letras entre A y D" sqref="L11" xr:uid="{058077A5-ABAC-4C72-A342-DE340D74BE6B}">
      <formula1>$M$24:$P$24</formula1>
    </dataValidation>
  </dataValidations>
  <printOptions horizontalCentered="1" verticalCentered="1"/>
  <pageMargins left="0.39370078740157483" right="0.39370078740157483" top="0.98425196850393704" bottom="0.98425196850393704" header="0" footer="0"/>
  <pageSetup scale="95" orientation="landscape" r:id="rId1"/>
  <headerFooter alignWithMargins="0"/>
  <ignoredErrors>
    <ignoredError sqref="J7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D4B34"/>
  </sheetPr>
  <dimension ref="B1:R59"/>
  <sheetViews>
    <sheetView showGridLines="0" workbookViewId="0">
      <pane ySplit="8" topLeftCell="A9" activePane="bottomLeft" state="frozen"/>
      <selection activeCell="E17" sqref="E17"/>
      <selection pane="bottomLeft" activeCell="F60" sqref="F60:O67"/>
    </sheetView>
  </sheetViews>
  <sheetFormatPr baseColWidth="10" defaultColWidth="11.42578125" defaultRowHeight="12.75"/>
  <cols>
    <col min="1" max="1" width="1.28515625" style="9" customWidth="1"/>
    <col min="2" max="2" width="2.5703125" style="9" bestFit="1" customWidth="1"/>
    <col min="3" max="3" width="21.140625" style="9" customWidth="1"/>
    <col min="4" max="5" width="10.28515625" style="9" customWidth="1"/>
    <col min="6" max="6" width="11.7109375" style="9" bestFit="1" customWidth="1"/>
    <col min="7" max="7" width="10.140625" style="9" bestFit="1" customWidth="1"/>
    <col min="8" max="8" width="2" style="9" customWidth="1"/>
    <col min="9" max="9" width="11.7109375" style="9" bestFit="1" customWidth="1"/>
    <col min="10" max="10" width="11.140625" style="9" bestFit="1" customWidth="1"/>
    <col min="11" max="11" width="12.7109375" style="9" bestFit="1" customWidth="1"/>
    <col min="12" max="12" width="0.85546875" style="9" customWidth="1"/>
    <col min="13" max="13" width="7" style="9" bestFit="1" customWidth="1"/>
    <col min="14" max="14" width="1.28515625" style="9" customWidth="1"/>
    <col min="15" max="15" width="11.42578125" style="9"/>
    <col min="16" max="16" width="20.85546875" style="9" bestFit="1" customWidth="1"/>
    <col min="17" max="17" width="11.42578125" style="9"/>
    <col min="18" max="18" width="12.42578125" style="9" customWidth="1"/>
    <col min="19" max="16384" width="11.42578125" style="9"/>
  </cols>
  <sheetData>
    <row r="1" spans="2:18" ht="18">
      <c r="B1" s="8" t="s">
        <v>152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2:18" customFormat="1" ht="21">
      <c r="B2" s="8" t="s">
        <v>267</v>
      </c>
      <c r="C2" s="5"/>
      <c r="D2" s="5"/>
      <c r="E2" s="5"/>
      <c r="F2" s="5"/>
      <c r="G2" s="5"/>
      <c r="H2" s="5"/>
      <c r="I2" s="5"/>
      <c r="J2" s="5"/>
      <c r="K2" s="5"/>
      <c r="L2" s="5"/>
      <c r="M2" s="4"/>
    </row>
    <row r="3" spans="2:18" ht="18">
      <c r="B3" s="8" t="str">
        <f>_xlfn.CONCAT(FICHA!D36," (abr-mar)")</f>
        <v>Cosecha 2026-2027 (abr-mar)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2:18" ht="13.5" thickBot="1"/>
    <row r="5" spans="2:18" ht="18" customHeight="1" thickTop="1" thickBot="1">
      <c r="B5" s="250" t="s">
        <v>252</v>
      </c>
      <c r="C5" s="10"/>
      <c r="D5" s="56">
        <f>FICHA!J5</f>
        <v>40</v>
      </c>
    </row>
    <row r="6" spans="2:18" ht="14.25" thickTop="1" thickBot="1"/>
    <row r="7" spans="2:18" s="63" customFormat="1" ht="15" customHeight="1" thickBot="1">
      <c r="D7" s="64" t="s">
        <v>16</v>
      </c>
      <c r="E7" s="423" t="s">
        <v>10</v>
      </c>
      <c r="F7" s="64" t="s">
        <v>57</v>
      </c>
      <c r="G7" s="423" t="s">
        <v>10</v>
      </c>
      <c r="H7" s="64"/>
      <c r="I7" s="425" t="s">
        <v>17</v>
      </c>
      <c r="J7" s="426"/>
      <c r="K7" s="427"/>
    </row>
    <row r="8" spans="2:18" s="63" customFormat="1" ht="15" customHeight="1" thickBot="1">
      <c r="C8" s="65" t="s">
        <v>14</v>
      </c>
      <c r="D8" s="66" t="s">
        <v>18</v>
      </c>
      <c r="E8" s="424" t="s">
        <v>56</v>
      </c>
      <c r="F8" s="66" t="s">
        <v>58</v>
      </c>
      <c r="G8" s="424" t="s">
        <v>57</v>
      </c>
      <c r="H8" s="66"/>
      <c r="I8" s="66" t="s">
        <v>131</v>
      </c>
      <c r="J8" s="67" t="s">
        <v>264</v>
      </c>
      <c r="K8" s="68" t="s">
        <v>265</v>
      </c>
      <c r="L8" s="66"/>
      <c r="M8" s="69" t="s">
        <v>0</v>
      </c>
    </row>
    <row r="9" spans="2:18" ht="4.5" customHeight="1">
      <c r="B9" s="63"/>
      <c r="C9" s="63"/>
      <c r="D9" s="63"/>
      <c r="E9" s="435"/>
      <c r="F9" s="63"/>
      <c r="G9" s="435"/>
      <c r="H9" s="63"/>
      <c r="I9" s="63"/>
      <c r="J9" s="70"/>
      <c r="K9" s="70"/>
      <c r="L9" s="63"/>
      <c r="M9" s="71"/>
    </row>
    <row r="10" spans="2:18">
      <c r="B10" s="72">
        <v>1</v>
      </c>
      <c r="C10" s="72" t="s">
        <v>104</v>
      </c>
      <c r="D10" s="72"/>
      <c r="E10" s="436"/>
      <c r="F10" s="72"/>
      <c r="G10" s="436"/>
      <c r="H10" s="72"/>
      <c r="I10" s="73">
        <f>SUM(I11:I12)</f>
        <v>829925.16411142005</v>
      </c>
      <c r="J10" s="74">
        <f>SUM(J11:J12)</f>
        <v>20748.129102785504</v>
      </c>
      <c r="K10" s="74">
        <f ca="1">SUM(K11:K12)</f>
        <v>41.545281637903727</v>
      </c>
      <c r="L10" s="75"/>
      <c r="M10" s="76">
        <f ca="1">SUM(M11:M12)</f>
        <v>0.25126889124231189</v>
      </c>
    </row>
    <row r="11" spans="2:18" s="63" customFormat="1">
      <c r="C11" s="63" t="s">
        <v>19</v>
      </c>
      <c r="D11" s="84">
        <f>FICHA!E4</f>
        <v>340.6</v>
      </c>
      <c r="E11" s="437" t="s">
        <v>147</v>
      </c>
      <c r="F11" s="19">
        <f>FICHA!E5</f>
        <v>1675.253615112352</v>
      </c>
      <c r="G11" s="442" t="s">
        <v>148</v>
      </c>
      <c r="H11" s="19"/>
      <c r="I11" s="77">
        <f>IF(OR(D11="-",F11=0),"-",D11*F11)</f>
        <v>570591.38130726712</v>
      </c>
      <c r="J11" s="78">
        <f>IF(I11="-","-",I11/$D$5)</f>
        <v>14264.784532681679</v>
      </c>
      <c r="K11" s="78">
        <f ca="1">IF(J11="-","-",J11/$F$57)</f>
        <v>28.563273728362823</v>
      </c>
      <c r="L11" s="19"/>
      <c r="M11" s="79">
        <f ca="1">IF(I11="-","-",I11/$I$54)</f>
        <v>0.17275276125287856</v>
      </c>
    </row>
    <row r="12" spans="2:18" s="63" customFormat="1">
      <c r="C12" s="89" t="s">
        <v>20</v>
      </c>
      <c r="D12" s="80">
        <f>FICHA!E6</f>
        <v>0.45450000000000002</v>
      </c>
      <c r="E12" s="437" t="s">
        <v>0</v>
      </c>
      <c r="F12" s="19">
        <f>D12*F11</f>
        <v>761.402768068564</v>
      </c>
      <c r="G12" s="442" t="s">
        <v>148</v>
      </c>
      <c r="H12" s="19"/>
      <c r="I12" s="77">
        <f>I11*D12</f>
        <v>259333.78280415293</v>
      </c>
      <c r="J12" s="78">
        <f>I12/$D$5</f>
        <v>6483.3445701038236</v>
      </c>
      <c r="K12" s="78">
        <f ca="1">J12/$F$57</f>
        <v>12.982007909540904</v>
      </c>
      <c r="L12" s="19"/>
      <c r="M12" s="79">
        <f ca="1">IF(I12="-","-",I12/$I$54)</f>
        <v>7.8516129989433303E-2</v>
      </c>
    </row>
    <row r="13" spans="2:18" ht="3.75" customHeight="1">
      <c r="B13" s="63"/>
      <c r="C13" s="63"/>
      <c r="D13" s="63"/>
      <c r="E13" s="435"/>
      <c r="F13" s="19"/>
      <c r="G13" s="443"/>
      <c r="H13" s="19"/>
      <c r="I13" s="64"/>
      <c r="J13" s="81"/>
      <c r="K13" s="81"/>
      <c r="L13" s="63"/>
      <c r="M13" s="79"/>
      <c r="P13" s="63"/>
      <c r="Q13" s="63"/>
      <c r="R13" s="63"/>
    </row>
    <row r="14" spans="2:18">
      <c r="B14" s="72">
        <v>2</v>
      </c>
      <c r="C14" s="72" t="s">
        <v>103</v>
      </c>
      <c r="D14" s="72"/>
      <c r="E14" s="436"/>
      <c r="F14" s="75"/>
      <c r="G14" s="444"/>
      <c r="H14" s="75"/>
      <c r="I14" s="73">
        <f>SUM(I15:I28)</f>
        <v>732520.35334118479</v>
      </c>
      <c r="J14" s="74">
        <f>SUM(J15:J28)</f>
        <v>18313.00883352962</v>
      </c>
      <c r="K14" s="74">
        <f ca="1">SUM(K15:K28)</f>
        <v>36.669287426222191</v>
      </c>
      <c r="L14" s="75"/>
      <c r="M14" s="76">
        <f ca="1">SUM(M15:M28)</f>
        <v>0.22177852287866701</v>
      </c>
      <c r="P14" s="63"/>
      <c r="Q14" s="63"/>
      <c r="R14" s="63"/>
    </row>
    <row r="15" spans="2:18" s="63" customFormat="1">
      <c r="C15" s="63" t="s">
        <v>106</v>
      </c>
      <c r="D15" s="82">
        <f>ROUND(FICHA!J4*FICHA!J10,0)</f>
        <v>0</v>
      </c>
      <c r="E15" s="437" t="s">
        <v>21</v>
      </c>
      <c r="F15" s="19">
        <f>FICHA!J11</f>
        <v>302.78305889332972</v>
      </c>
      <c r="G15" s="442" t="s">
        <v>114</v>
      </c>
      <c r="H15" s="19"/>
      <c r="I15" s="77">
        <f t="shared" ref="I15:I25" si="0">IF(OR(D15="-",F15=0),"-",D15*F15)</f>
        <v>0</v>
      </c>
      <c r="J15" s="78">
        <f t="shared" ref="J15:J37" si="1">IF(I15="-","-",I15/$D$5)</f>
        <v>0</v>
      </c>
      <c r="K15" s="78">
        <f t="shared" ref="K15:K27" ca="1" si="2">IF(J15="-","-",J15/$F$57)</f>
        <v>0</v>
      </c>
      <c r="L15" s="19"/>
      <c r="M15" s="79">
        <f t="shared" ref="M15:M27" ca="1" si="3">IF(I15="-","-",I15/$I$54)</f>
        <v>0</v>
      </c>
    </row>
    <row r="16" spans="2:18" s="63" customFormat="1">
      <c r="C16" s="159" t="s">
        <v>12</v>
      </c>
      <c r="D16" s="252">
        <f>ROUND(FICHA!E12,1)</f>
        <v>765</v>
      </c>
      <c r="E16" s="438" t="s">
        <v>121</v>
      </c>
      <c r="F16" s="160">
        <f>TECNICO!N18/45</f>
        <v>439.11865497076002</v>
      </c>
      <c r="G16" s="445" t="s">
        <v>123</v>
      </c>
      <c r="H16" s="160"/>
      <c r="I16" s="161">
        <f t="shared" si="0"/>
        <v>335925.77105263143</v>
      </c>
      <c r="J16" s="162">
        <f t="shared" si="1"/>
        <v>8398.1442763157866</v>
      </c>
      <c r="K16" s="162">
        <f t="shared" ca="1" si="2"/>
        <v>16.8161315879053</v>
      </c>
      <c r="L16" s="160"/>
      <c r="M16" s="163">
        <f t="shared" ca="1" si="3"/>
        <v>0.10170518943414204</v>
      </c>
    </row>
    <row r="17" spans="2:18" s="63" customFormat="1">
      <c r="C17" s="164" t="s">
        <v>13</v>
      </c>
      <c r="D17" s="165">
        <f>ROUND(FICHA!E13,1)</f>
        <v>225</v>
      </c>
      <c r="E17" s="439" t="s">
        <v>121</v>
      </c>
      <c r="F17" s="166">
        <f>TECNICO!N26/45</f>
        <v>423.33333333333331</v>
      </c>
      <c r="G17" s="446" t="s">
        <v>123</v>
      </c>
      <c r="H17" s="166"/>
      <c r="I17" s="167">
        <f t="shared" si="0"/>
        <v>95250</v>
      </c>
      <c r="J17" s="168">
        <f t="shared" si="1"/>
        <v>2381.25</v>
      </c>
      <c r="K17" s="168">
        <f t="shared" ca="1" si="2"/>
        <v>4.7681263891391836</v>
      </c>
      <c r="L17" s="166"/>
      <c r="M17" s="169">
        <f t="shared" ca="1" si="3"/>
        <v>2.8837975911304065E-2</v>
      </c>
    </row>
    <row r="18" spans="2:18" s="63" customFormat="1">
      <c r="C18" s="63" t="s">
        <v>164</v>
      </c>
      <c r="D18" s="152">
        <f>ROUND(FICHA!E14,1)</f>
        <v>900</v>
      </c>
      <c r="E18" s="437" t="s">
        <v>121</v>
      </c>
      <c r="F18" s="19">
        <f>IF(UNIT!Z1=1,UNIT!AD35/45,UNIT!AF35/45)</f>
        <v>80.112396918518527</v>
      </c>
      <c r="G18" s="442" t="s">
        <v>123</v>
      </c>
      <c r="H18" s="19"/>
      <c r="I18" s="77">
        <f t="shared" si="0"/>
        <v>72101.157226666677</v>
      </c>
      <c r="J18" s="78">
        <f t="shared" si="1"/>
        <v>1802.5289306666668</v>
      </c>
      <c r="K18" s="78">
        <f t="shared" ca="1" si="2"/>
        <v>3.6093168552224961</v>
      </c>
      <c r="L18" s="19"/>
      <c r="M18" s="79">
        <f t="shared" ca="1" si="3"/>
        <v>2.1829411394013235E-2</v>
      </c>
    </row>
    <row r="19" spans="2:18" s="63" customFormat="1">
      <c r="C19" s="63" t="s">
        <v>22</v>
      </c>
      <c r="D19" s="83">
        <f>FICHA!J14</f>
        <v>2.286</v>
      </c>
      <c r="E19" s="437" t="s">
        <v>81</v>
      </c>
      <c r="F19" s="19">
        <f>IF(D19=0,0,SUM(ATOM!H13,ATOM!H15,ATOM!H19)/D19)</f>
        <v>28896.997614690212</v>
      </c>
      <c r="G19" s="442" t="s">
        <v>115</v>
      </c>
      <c r="H19" s="19"/>
      <c r="I19" s="77">
        <f t="shared" si="0"/>
        <v>66058.536547181822</v>
      </c>
      <c r="J19" s="78">
        <f t="shared" si="1"/>
        <v>1651.4634136795455</v>
      </c>
      <c r="K19" s="78">
        <f t="shared" ca="1" si="2"/>
        <v>3.3068288854439145</v>
      </c>
      <c r="L19" s="19"/>
      <c r="M19" s="79">
        <f t="shared" ca="1" si="3"/>
        <v>1.9999942106914737E-2</v>
      </c>
      <c r="P19" s="19"/>
      <c r="Q19" s="659"/>
    </row>
    <row r="20" spans="2:18" s="63" customFormat="1">
      <c r="C20" s="63" t="s">
        <v>274</v>
      </c>
      <c r="D20" s="83">
        <f>FICHA!J15</f>
        <v>0.68600000000000005</v>
      </c>
      <c r="E20" s="437" t="s">
        <v>121</v>
      </c>
      <c r="F20" s="19">
        <f>IF(D20=0,0,SUM(ATOM!H12,ATOM!H18)/D20)</f>
        <v>97424.273717849021</v>
      </c>
      <c r="G20" s="442" t="s">
        <v>115</v>
      </c>
      <c r="H20" s="19"/>
      <c r="I20" s="77">
        <f t="shared" si="0"/>
        <v>66833.051770444436</v>
      </c>
      <c r="J20" s="78">
        <f t="shared" si="1"/>
        <v>1670.8262942611109</v>
      </c>
      <c r="K20" s="78">
        <f t="shared" ca="1" si="2"/>
        <v>3.3456003969906707</v>
      </c>
      <c r="L20" s="19"/>
      <c r="M20" s="79">
        <f t="shared" ca="1" si="3"/>
        <v>2.0234435034488338E-2</v>
      </c>
      <c r="P20" s="19"/>
    </row>
    <row r="21" spans="2:18" s="63" customFormat="1">
      <c r="C21" s="63" t="s">
        <v>275</v>
      </c>
      <c r="D21" s="83">
        <f>FICHA!J16</f>
        <v>2</v>
      </c>
      <c r="E21" s="437" t="s">
        <v>364</v>
      </c>
      <c r="F21" s="19">
        <f>IF(D21=0,0,SUM(ATOM!H17,ATOM!H20)/D21)</f>
        <v>10894.315240671822</v>
      </c>
      <c r="G21" s="442" t="s">
        <v>365</v>
      </c>
      <c r="H21" s="19"/>
      <c r="I21" s="77">
        <f t="shared" si="0"/>
        <v>21788.630481343644</v>
      </c>
      <c r="J21" s="78">
        <f t="shared" si="1"/>
        <v>544.71576203359109</v>
      </c>
      <c r="K21" s="78">
        <f t="shared" ca="1" si="2"/>
        <v>1.0907185719821211</v>
      </c>
      <c r="L21" s="19"/>
      <c r="M21" s="79">
        <f t="shared" ca="1" si="3"/>
        <v>6.5967454169164668E-3</v>
      </c>
    </row>
    <row r="22" spans="2:18" s="63" customFormat="1">
      <c r="C22" s="63" t="s">
        <v>552</v>
      </c>
      <c r="D22" s="83">
        <f>FICHA!J17</f>
        <v>0.57099999999999995</v>
      </c>
      <c r="E22" s="437" t="s">
        <v>23</v>
      </c>
      <c r="F22" s="19">
        <f>ATOM!G16</f>
        <v>11518.293750000001</v>
      </c>
      <c r="G22" s="442" t="s">
        <v>115</v>
      </c>
      <c r="H22" s="19"/>
      <c r="I22" s="77">
        <f t="shared" si="0"/>
        <v>6576.9457312499999</v>
      </c>
      <c r="J22" s="78">
        <f t="shared" si="1"/>
        <v>164.42364328125001</v>
      </c>
      <c r="K22" s="78">
        <f t="shared" ca="1" si="2"/>
        <v>0.32923578478855048</v>
      </c>
      <c r="L22" s="19"/>
      <c r="M22" s="79">
        <f t="shared" ca="1" si="3"/>
        <v>1.9912420217085731E-3</v>
      </c>
    </row>
    <row r="23" spans="2:18" s="63" customFormat="1">
      <c r="C23" s="154" t="s">
        <v>366</v>
      </c>
      <c r="D23" s="344">
        <f>FICHA!J18</f>
        <v>2.613</v>
      </c>
      <c r="E23" s="440" t="s">
        <v>23</v>
      </c>
      <c r="F23" s="155">
        <f>ATOM!G14</f>
        <v>8260.2478655303021</v>
      </c>
      <c r="G23" s="447" t="s">
        <v>115</v>
      </c>
      <c r="H23" s="155"/>
      <c r="I23" s="156">
        <f>IF(OR(D23="-",F23=0),"-",D23*F23)</f>
        <v>21584.02767263068</v>
      </c>
      <c r="J23" s="157">
        <f>IF(I23="-","-",I23/$D$5)</f>
        <v>539.60069181576705</v>
      </c>
      <c r="K23" s="157">
        <f t="shared" ca="1" si="2"/>
        <v>1.080476345719483</v>
      </c>
      <c r="L23" s="155"/>
      <c r="M23" s="158">
        <f t="shared" ca="1" si="3"/>
        <v>6.5347996860078096E-3</v>
      </c>
    </row>
    <row r="24" spans="2:18" s="63" customFormat="1">
      <c r="C24" s="63" t="s">
        <v>24</v>
      </c>
      <c r="D24" s="83">
        <f>FICHA!J21</f>
        <v>6</v>
      </c>
      <c r="E24" s="437" t="s">
        <v>23</v>
      </c>
      <c r="F24" s="19">
        <f>IF(UNIT!Z1=1,UNIT!AD49,UNIT!AF49)</f>
        <v>2933.2215307388365</v>
      </c>
      <c r="G24" s="442" t="s">
        <v>115</v>
      </c>
      <c r="H24" s="19"/>
      <c r="I24" s="77">
        <f t="shared" si="0"/>
        <v>17599.32918443302</v>
      </c>
      <c r="J24" s="78">
        <f t="shared" si="1"/>
        <v>439.9832296108255</v>
      </c>
      <c r="K24" s="78">
        <f t="shared" ca="1" si="2"/>
        <v>0.88100604635635149</v>
      </c>
      <c r="L24" s="19"/>
      <c r="M24" s="79">
        <f t="shared" ca="1" si="3"/>
        <v>5.3283887776985834E-3</v>
      </c>
    </row>
    <row r="25" spans="2:18" s="63" customFormat="1">
      <c r="C25" s="63" t="s">
        <v>549</v>
      </c>
      <c r="D25" s="83">
        <f>FICHA!J22</f>
        <v>0</v>
      </c>
      <c r="E25" s="437" t="s">
        <v>23</v>
      </c>
      <c r="F25" s="19">
        <f>IF(UNIT!Z1=1,UNIT!AD50,UNIT!AF50)</f>
        <v>7519.7119047619035</v>
      </c>
      <c r="G25" s="442" t="s">
        <v>115</v>
      </c>
      <c r="H25" s="19"/>
      <c r="I25" s="77">
        <f t="shared" si="0"/>
        <v>0</v>
      </c>
      <c r="J25" s="78">
        <f t="shared" si="1"/>
        <v>0</v>
      </c>
      <c r="K25" s="78">
        <f t="shared" ca="1" si="2"/>
        <v>0</v>
      </c>
      <c r="L25" s="19"/>
      <c r="M25" s="79">
        <f t="shared" ca="1" si="3"/>
        <v>0</v>
      </c>
    </row>
    <row r="26" spans="2:18" s="63" customFormat="1">
      <c r="C26" s="154" t="s">
        <v>367</v>
      </c>
      <c r="D26" s="344">
        <f>FICHA!J23</f>
        <v>2.3250000000000002</v>
      </c>
      <c r="E26" s="440" t="s">
        <v>82</v>
      </c>
      <c r="F26" s="155">
        <f>IF(UNIT!Z1=1,UNIT!AD51,UNIT!AF51)</f>
        <v>5650.9171428571426</v>
      </c>
      <c r="G26" s="447" t="s">
        <v>365</v>
      </c>
      <c r="H26" s="155"/>
      <c r="I26" s="156">
        <f>IF(OR(D26="-",F26=0),"-",D26*F26)</f>
        <v>13138.382357142858</v>
      </c>
      <c r="J26" s="157">
        <f>IF(I26="-","-",I26/$D$5)</f>
        <v>328.45955892857148</v>
      </c>
      <c r="K26" s="157">
        <f t="shared" ref="K26" ca="1" si="4">IF(J26="-","-",J26/$F$57)</f>
        <v>0.6576951981910083</v>
      </c>
      <c r="L26" s="155"/>
      <c r="M26" s="158">
        <f t="shared" ref="M26" ca="1" si="5">IF(I26="-","-",I26/$I$54)</f>
        <v>3.9777884926906881E-3</v>
      </c>
    </row>
    <row r="27" spans="2:18" s="63" customFormat="1">
      <c r="C27" s="63" t="s">
        <v>385</v>
      </c>
      <c r="D27" s="84">
        <f>ROUND(FICHA!I26*FICHA!J26,0)</f>
        <v>0</v>
      </c>
      <c r="E27" s="437" t="s">
        <v>11</v>
      </c>
      <c r="F27" s="19">
        <v>50.5</v>
      </c>
      <c r="G27" s="442" t="s">
        <v>122</v>
      </c>
      <c r="H27" s="19"/>
      <c r="I27" s="77">
        <f>IF(OR(D27="-",F27=0),"-",D27*F27)</f>
        <v>0</v>
      </c>
      <c r="J27" s="78">
        <f t="shared" si="1"/>
        <v>0</v>
      </c>
      <c r="K27" s="78">
        <f t="shared" ca="1" si="2"/>
        <v>0</v>
      </c>
      <c r="L27" s="19"/>
      <c r="M27" s="79">
        <f t="shared" ca="1" si="3"/>
        <v>0</v>
      </c>
    </row>
    <row r="28" spans="2:18" s="63" customFormat="1">
      <c r="C28" s="63" t="s">
        <v>383</v>
      </c>
      <c r="D28" s="251">
        <f>FICHA!I27</f>
        <v>1.4</v>
      </c>
      <c r="E28" s="437" t="s">
        <v>23</v>
      </c>
      <c r="F28" s="253">
        <f>IF(UNIT!Z1=1,UNIT!AD52,UNIT!AF52)</f>
        <v>11188.943798185941</v>
      </c>
      <c r="G28" s="442" t="s">
        <v>123</v>
      </c>
      <c r="H28" s="19"/>
      <c r="I28" s="77">
        <f>IF(OR(D28="-",F28=0),"-",D28*F28)</f>
        <v>15664.521317460316</v>
      </c>
      <c r="J28" s="78">
        <f t="shared" si="1"/>
        <v>391.61303293650792</v>
      </c>
      <c r="K28" s="78">
        <f t="shared" ref="K28" ca="1" si="6">IF(J28="-","-",J28/$F$57)</f>
        <v>0.78415136448310585</v>
      </c>
      <c r="L28" s="19"/>
      <c r="M28" s="79">
        <f t="shared" ref="M28" ca="1" si="7">IF(I28="-","-",I28/$I$54)</f>
        <v>4.7426046027824629E-3</v>
      </c>
    </row>
    <row r="29" spans="2:18" ht="4.5" customHeight="1" thickBot="1">
      <c r="B29" s="63"/>
      <c r="C29" s="63"/>
      <c r="D29" s="63"/>
      <c r="E29" s="441"/>
      <c r="F29" s="19"/>
      <c r="G29" s="448"/>
      <c r="H29" s="19"/>
      <c r="I29" s="64"/>
      <c r="J29" s="81"/>
      <c r="K29" s="67"/>
      <c r="L29" s="63"/>
      <c r="M29" s="85"/>
      <c r="P29" s="63"/>
      <c r="Q29" s="63"/>
      <c r="R29" s="63"/>
    </row>
    <row r="30" spans="2:18" s="63" customFormat="1" ht="17.100000000000001" customHeight="1" thickBot="1">
      <c r="C30" s="428" t="s">
        <v>139</v>
      </c>
      <c r="D30" s="429"/>
      <c r="E30" s="429"/>
      <c r="F30" s="430"/>
      <c r="G30" s="430"/>
      <c r="H30" s="430"/>
      <c r="I30" s="431">
        <f>SUM(I10,I14)</f>
        <v>1562445.5174526048</v>
      </c>
      <c r="J30" s="431">
        <f>SUM(J10,J14)</f>
        <v>39061.137936315121</v>
      </c>
      <c r="K30" s="432">
        <f ca="1">SUM(K10,K14)</f>
        <v>78.214569064125925</v>
      </c>
      <c r="L30" s="19"/>
      <c r="M30" s="433">
        <f ca="1">SUM(M10,M14)</f>
        <v>0.47304741412097889</v>
      </c>
    </row>
    <row r="31" spans="2:18" ht="3.75" customHeight="1">
      <c r="B31" s="63"/>
      <c r="C31" s="63"/>
      <c r="D31" s="63"/>
      <c r="E31" s="435"/>
      <c r="F31" s="19"/>
      <c r="G31" s="443"/>
      <c r="H31" s="19"/>
      <c r="I31" s="64"/>
      <c r="J31" s="81"/>
      <c r="K31" s="81"/>
      <c r="L31" s="63"/>
      <c r="M31" s="79"/>
    </row>
    <row r="32" spans="2:18">
      <c r="B32" s="72">
        <v>3</v>
      </c>
      <c r="C32" s="72" t="s">
        <v>59</v>
      </c>
      <c r="D32" s="72"/>
      <c r="E32" s="436"/>
      <c r="F32" s="72"/>
      <c r="G32" s="436"/>
      <c r="H32" s="72"/>
      <c r="I32" s="73">
        <f>SUM(I33:I33)</f>
        <v>1267687.2</v>
      </c>
      <c r="J32" s="74">
        <f>SUM(J33:J33)</f>
        <v>31692.18</v>
      </c>
      <c r="K32" s="74">
        <f ca="1">SUM(K33:K33)</f>
        <v>63.45924190544843</v>
      </c>
      <c r="L32" s="75"/>
      <c r="M32" s="76">
        <f ca="1">SUM(M33:M33)</f>
        <v>0.38380612007001047</v>
      </c>
    </row>
    <row r="33" spans="2:13" s="63" customFormat="1">
      <c r="C33" s="63" t="s">
        <v>182</v>
      </c>
      <c r="D33" s="84">
        <f>D5</f>
        <v>40</v>
      </c>
      <c r="E33" s="437" t="s">
        <v>243</v>
      </c>
      <c r="F33" s="19">
        <f>FICHA!E9</f>
        <v>31692.18</v>
      </c>
      <c r="G33" s="442" t="s">
        <v>259</v>
      </c>
      <c r="H33" s="19"/>
      <c r="I33" s="77">
        <f>IF(OR(D33="-",F33=0),"-",D33*F33)</f>
        <v>1267687.2</v>
      </c>
      <c r="J33" s="78">
        <f>IF(I33="-","-",I33/$D$5)</f>
        <v>31692.18</v>
      </c>
      <c r="K33" s="78">
        <f ca="1">IF(J33="-","-",J33/$F$57)</f>
        <v>63.45924190544843</v>
      </c>
      <c r="L33" s="19"/>
      <c r="M33" s="79">
        <f ca="1">IF(I33="-","-",I33/$I$54)</f>
        <v>0.38380612007001047</v>
      </c>
    </row>
    <row r="34" spans="2:13" ht="3.75" customHeight="1">
      <c r="B34" s="63"/>
      <c r="C34" s="63"/>
      <c r="D34" s="63"/>
      <c r="E34" s="435"/>
      <c r="F34" s="19"/>
      <c r="G34" s="443"/>
      <c r="H34" s="19"/>
      <c r="I34" s="64"/>
      <c r="J34" s="81"/>
      <c r="K34" s="81"/>
      <c r="L34" s="63"/>
      <c r="M34" s="79"/>
    </row>
    <row r="35" spans="2:13">
      <c r="B35" s="72">
        <v>4</v>
      </c>
      <c r="C35" s="72" t="s">
        <v>102</v>
      </c>
      <c r="D35" s="72"/>
      <c r="E35" s="436"/>
      <c r="F35" s="72"/>
      <c r="G35" s="436"/>
      <c r="H35" s="72"/>
      <c r="I35" s="73">
        <f>SUM(I36:I38)</f>
        <v>97726.433000000005</v>
      </c>
      <c r="J35" s="74">
        <f>SUM(J36:J38)</f>
        <v>2443.1608249999999</v>
      </c>
      <c r="K35" s="74">
        <f ca="1">SUM(K36:K38)</f>
        <v>4.8920943212991332</v>
      </c>
      <c r="L35" s="75"/>
      <c r="M35" s="76">
        <f ca="1">SUM(M36:M38)</f>
        <v>2.9587743000017538E-2</v>
      </c>
    </row>
    <row r="36" spans="2:13" s="63" customFormat="1">
      <c r="C36" s="63" t="s">
        <v>169</v>
      </c>
      <c r="D36" s="152">
        <f>SUM(D16:D18)</f>
        <v>1890</v>
      </c>
      <c r="E36" s="437" t="s">
        <v>121</v>
      </c>
      <c r="F36" s="19">
        <f>FICHA!E17</f>
        <v>14.757300000000001</v>
      </c>
      <c r="G36" s="442" t="s">
        <v>123</v>
      </c>
      <c r="H36" s="19"/>
      <c r="I36" s="77">
        <f>IF(OR(D36="-",F36=0),"-",D36*F36)</f>
        <v>27891.297000000002</v>
      </c>
      <c r="J36" s="78">
        <f t="shared" si="1"/>
        <v>697.2824250000001</v>
      </c>
      <c r="K36" s="78">
        <f ca="1">IF(J36="-","-",J36/$F$57)</f>
        <v>1.3962123806091189</v>
      </c>
      <c r="L36" s="19"/>
      <c r="M36" s="79">
        <f ca="1">IF(I36="-","-",I36/$I$54)</f>
        <v>8.4443942364412321E-3</v>
      </c>
    </row>
    <row r="37" spans="2:13" s="63" customFormat="1">
      <c r="C37" s="86" t="s">
        <v>25</v>
      </c>
      <c r="D37" s="82">
        <f>D15</f>
        <v>0</v>
      </c>
      <c r="E37" s="437" t="s">
        <v>21</v>
      </c>
      <c r="F37" s="19">
        <f>FICHA!E18</f>
        <v>26.593499999999999</v>
      </c>
      <c r="G37" s="442" t="s">
        <v>114</v>
      </c>
      <c r="H37" s="19"/>
      <c r="I37" s="77">
        <f>IF(OR(D37="-",F37=0),"-",D37*F37)</f>
        <v>0</v>
      </c>
      <c r="J37" s="78">
        <f t="shared" si="1"/>
        <v>0</v>
      </c>
      <c r="K37" s="78">
        <f ca="1">IF(J37="-","-",J37/$F$57)</f>
        <v>0</v>
      </c>
      <c r="L37" s="19"/>
      <c r="M37" s="79">
        <f ca="1">IF(I37="-","-",I37/$I$54)</f>
        <v>0</v>
      </c>
    </row>
    <row r="38" spans="2:13" s="63" customFormat="1">
      <c r="C38" s="63" t="s">
        <v>183</v>
      </c>
      <c r="D38" s="84">
        <f>D5</f>
        <v>40</v>
      </c>
      <c r="E38" s="437" t="s">
        <v>243</v>
      </c>
      <c r="F38" s="19">
        <f>FICHA!E19</f>
        <v>1745.8784000000001</v>
      </c>
      <c r="G38" s="442" t="s">
        <v>259</v>
      </c>
      <c r="H38" s="19"/>
      <c r="I38" s="77">
        <f>IF(OR(D38="-",F38=0),"-",D38*F38)</f>
        <v>69835.135999999999</v>
      </c>
      <c r="J38" s="78">
        <f>IF(I38="-","-",I38/$D$5)</f>
        <v>1745.8784000000001</v>
      </c>
      <c r="K38" s="78">
        <f ca="1">IF(J38="-","-",J38/$F$57)</f>
        <v>3.4958819406900141</v>
      </c>
      <c r="L38" s="19"/>
      <c r="M38" s="79">
        <f ca="1">IF(I38="-","-",I38/$I$54)</f>
        <v>2.1143348763576306E-2</v>
      </c>
    </row>
    <row r="39" spans="2:13" ht="4.5" customHeight="1" thickBot="1">
      <c r="B39" s="63"/>
      <c r="C39" s="63"/>
      <c r="D39" s="63"/>
      <c r="E39" s="441"/>
      <c r="F39" s="19"/>
      <c r="G39" s="448"/>
      <c r="H39" s="19"/>
      <c r="I39" s="64"/>
      <c r="J39" s="81"/>
      <c r="K39" s="67"/>
      <c r="L39" s="63"/>
      <c r="M39" s="85"/>
    </row>
    <row r="40" spans="2:13" s="63" customFormat="1" ht="17.100000000000001" customHeight="1" thickBot="1">
      <c r="C40" s="428" t="s">
        <v>143</v>
      </c>
      <c r="D40" s="429"/>
      <c r="E40" s="429"/>
      <c r="F40" s="430"/>
      <c r="G40" s="430"/>
      <c r="H40" s="430"/>
      <c r="I40" s="431">
        <f>SUM(I30,I32,I35)</f>
        <v>2927859.150452605</v>
      </c>
      <c r="J40" s="431">
        <f>SUM(J30,J32,J35)</f>
        <v>73196.478761315113</v>
      </c>
      <c r="K40" s="432">
        <f ca="1">SUM(K30,K32,K35)</f>
        <v>146.5659052908735</v>
      </c>
      <c r="L40" s="19"/>
      <c r="M40" s="433">
        <f ca="1">SUM(M30,M32,M35)</f>
        <v>0.88644127719100685</v>
      </c>
    </row>
    <row r="41" spans="2:13" ht="4.5" customHeight="1">
      <c r="B41" s="63"/>
      <c r="C41" s="63"/>
      <c r="D41" s="63"/>
      <c r="E41" s="63"/>
      <c r="F41" s="19"/>
      <c r="G41" s="449"/>
      <c r="H41" s="19"/>
      <c r="I41" s="64"/>
      <c r="J41" s="81"/>
      <c r="K41" s="87"/>
      <c r="L41" s="63"/>
      <c r="M41" s="79"/>
    </row>
    <row r="42" spans="2:13">
      <c r="B42" s="72">
        <v>5</v>
      </c>
      <c r="C42" s="72" t="s">
        <v>60</v>
      </c>
      <c r="D42" s="72"/>
      <c r="E42" s="72"/>
      <c r="F42" s="75"/>
      <c r="G42" s="444"/>
      <c r="H42" s="75"/>
      <c r="I42" s="73">
        <f ca="1">SUM(I43,I44,I47,I52)</f>
        <v>375077.2377653835</v>
      </c>
      <c r="J42" s="74">
        <f ca="1">SUM(J43,J44,J47,J52)</f>
        <v>9376.9309441345886</v>
      </c>
      <c r="K42" s="74">
        <f ca="1">SUM(K43,K44,K47,K52)</f>
        <v>18.776017589024221</v>
      </c>
      <c r="L42" s="75"/>
      <c r="M42" s="76">
        <f ca="1">SUM(M43,M44,M47,M52)</f>
        <v>0.11355872280899315</v>
      </c>
    </row>
    <row r="43" spans="2:13" s="21" customFormat="1">
      <c r="B43" s="72"/>
      <c r="C43" s="72" t="s">
        <v>142</v>
      </c>
      <c r="D43" s="88"/>
      <c r="E43" s="88"/>
      <c r="F43" s="75"/>
      <c r="G43" s="450" t="s">
        <v>113</v>
      </c>
      <c r="H43" s="75"/>
      <c r="I43" s="73">
        <f>SUM(FICHA!E28:E29)/FICHA!E32</f>
        <v>190879.12050000002</v>
      </c>
      <c r="J43" s="74">
        <f>I43/D5</f>
        <v>4771.9780125000007</v>
      </c>
      <c r="K43" s="74">
        <f ca="1">J43/F57</f>
        <v>9.5552311978134199</v>
      </c>
      <c r="L43" s="75"/>
      <c r="M43" s="76">
        <f ca="1">IF(I43="-","-",I43/$I$54)</f>
        <v>5.7790734687138128E-2</v>
      </c>
    </row>
    <row r="44" spans="2:13" s="21" customFormat="1">
      <c r="B44" s="72"/>
      <c r="C44" s="72" t="s">
        <v>125</v>
      </c>
      <c r="D44" s="88"/>
      <c r="E44" s="88"/>
      <c r="F44" s="75"/>
      <c r="G44" s="450" t="s">
        <v>113</v>
      </c>
      <c r="H44" s="75"/>
      <c r="I44" s="73">
        <f ca="1">SUM(I45:I46)</f>
        <v>26831.09303700849</v>
      </c>
      <c r="J44" s="74">
        <f ca="1">SUM(J45:J46)</f>
        <v>670.77732592521227</v>
      </c>
      <c r="K44" s="74">
        <f ca="1">SUM(K45:K46)</f>
        <v>1.3431395565271265</v>
      </c>
      <c r="L44" s="75"/>
      <c r="M44" s="76">
        <f ca="1">SUM(M45:M46)</f>
        <v>8.1234059283486516E-3</v>
      </c>
    </row>
    <row r="45" spans="2:13" s="63" customFormat="1">
      <c r="B45" s="72"/>
      <c r="C45" s="89" t="s">
        <v>194</v>
      </c>
      <c r="D45" s="64"/>
      <c r="E45" s="64"/>
      <c r="F45" s="19"/>
      <c r="G45" s="442" t="s">
        <v>113</v>
      </c>
      <c r="H45" s="19"/>
      <c r="I45" s="77">
        <f ca="1">FICHA!E22/FICHA!E33</f>
        <v>11716.701609159078</v>
      </c>
      <c r="J45" s="78">
        <f ca="1">IF(I45="-","-",I45/$D$5)</f>
        <v>292.91754022897692</v>
      </c>
      <c r="K45" s="78">
        <f ca="1">IF(J45="-","-",J45/$F$57)</f>
        <v>0.58652718253334313</v>
      </c>
      <c r="L45" s="19"/>
      <c r="M45" s="79">
        <f ca="1">IF(I45="-","-",I45/$I$54)</f>
        <v>3.5473591471377117E-3</v>
      </c>
    </row>
    <row r="46" spans="2:13" s="63" customFormat="1">
      <c r="B46" s="72"/>
      <c r="C46" s="89" t="s">
        <v>124</v>
      </c>
      <c r="D46" s="64"/>
      <c r="E46" s="64"/>
      <c r="F46" s="19"/>
      <c r="G46" s="442" t="s">
        <v>113</v>
      </c>
      <c r="H46" s="19"/>
      <c r="I46" s="77">
        <f ca="1">FICHA!E24/FICHA!E34</f>
        <v>15114.391427849414</v>
      </c>
      <c r="J46" s="78">
        <f ca="1">IF(I46="-","-",I46/$D$5)</f>
        <v>377.85978569623535</v>
      </c>
      <c r="K46" s="78">
        <f ca="1">IF(J46="-","-",J46/$F$57)</f>
        <v>0.75661237399378334</v>
      </c>
      <c r="L46" s="19"/>
      <c r="M46" s="79">
        <f ca="1">IF(I46="-","-",I46/$I$54)</f>
        <v>4.57604678121094E-3</v>
      </c>
    </row>
    <row r="47" spans="2:13" s="21" customFormat="1">
      <c r="B47" s="72"/>
      <c r="C47" s="72" t="s">
        <v>61</v>
      </c>
      <c r="D47" s="88"/>
      <c r="E47" s="88"/>
      <c r="F47" s="75"/>
      <c r="G47" s="450" t="s">
        <v>113</v>
      </c>
      <c r="H47" s="75"/>
      <c r="I47" s="73">
        <f ca="1">SUM(I48:I51)</f>
        <v>104872.604228375</v>
      </c>
      <c r="J47" s="74">
        <f ca="1">SUM(J48:J51)</f>
        <v>2621.8151057093746</v>
      </c>
      <c r="K47" s="74">
        <f ca="1">SUM(K48:K51)</f>
        <v>5.2498250049245598</v>
      </c>
      <c r="L47" s="75"/>
      <c r="M47" s="76">
        <f ca="1">SUM(M48:M51)</f>
        <v>3.1751324246651995E-2</v>
      </c>
    </row>
    <row r="48" spans="2:13" s="63" customFormat="1">
      <c r="B48" s="72"/>
      <c r="C48" s="89" t="s">
        <v>194</v>
      </c>
      <c r="D48" s="64"/>
      <c r="E48" s="64"/>
      <c r="F48" s="19"/>
      <c r="G48" s="442" t="s">
        <v>113</v>
      </c>
      <c r="H48" s="19"/>
      <c r="I48" s="77">
        <f ca="1">FICHA!E22*FICHA!F22</f>
        <v>11529.234383412533</v>
      </c>
      <c r="J48" s="78">
        <f ca="1">IF(I48="-","-",I48/$D$5)</f>
        <v>288.23085958531334</v>
      </c>
      <c r="K48" s="78">
        <f ca="1">IF(J48="-","-",J48/$F$57)</f>
        <v>0.57714274761280981</v>
      </c>
      <c r="L48" s="19"/>
      <c r="M48" s="79">
        <f ca="1">IF(I48="-","-",I48/$I$54)</f>
        <v>3.4906014007835087E-3</v>
      </c>
    </row>
    <row r="49" spans="2:13" s="63" customFormat="1">
      <c r="B49" s="72"/>
      <c r="C49" s="89" t="s">
        <v>128</v>
      </c>
      <c r="D49" s="64"/>
      <c r="E49" s="64"/>
      <c r="F49" s="19"/>
      <c r="G49" s="442" t="s">
        <v>113</v>
      </c>
      <c r="H49" s="19"/>
      <c r="I49" s="77">
        <f ca="1">FICHA!E23*FICHA!F23</f>
        <v>88968.220768451618</v>
      </c>
      <c r="J49" s="78">
        <f ca="1">IF(I49="-","-",I49/$D$5)</f>
        <v>2224.2055192112903</v>
      </c>
      <c r="K49" s="78">
        <f ca="1">IF(J49="-","-",J49/$F$57)</f>
        <v>4.4536663647329648</v>
      </c>
      <c r="L49" s="19"/>
      <c r="M49" s="79">
        <f ca="1">IF(I49="-","-",I49/$I$54)</f>
        <v>2.6936098765272334E-2</v>
      </c>
    </row>
    <row r="50" spans="2:13" s="63" customFormat="1">
      <c r="B50" s="72"/>
      <c r="C50" s="89" t="s">
        <v>124</v>
      </c>
      <c r="D50" s="64"/>
      <c r="E50" s="64"/>
      <c r="F50" s="19"/>
      <c r="G50" s="442" t="s">
        <v>113</v>
      </c>
      <c r="H50" s="19"/>
      <c r="I50" s="77">
        <f ca="1">FICHA!E24*FICHA!F24</f>
        <v>3657.6827255395579</v>
      </c>
      <c r="J50" s="78">
        <f ca="1">IF(I50="-","-",I50/$D$5)</f>
        <v>91.442068138488949</v>
      </c>
      <c r="K50" s="78">
        <f ca="1">IF(J50="-","-",J50/$F$57)</f>
        <v>0.18310019450649556</v>
      </c>
      <c r="L50" s="19"/>
      <c r="M50" s="79">
        <f ca="1">IF(I50="-","-",I50/$I$54)</f>
        <v>1.1074033210530475E-3</v>
      </c>
    </row>
    <row r="51" spans="2:13" s="63" customFormat="1">
      <c r="B51" s="72"/>
      <c r="C51" s="89" t="s">
        <v>129</v>
      </c>
      <c r="D51" s="64"/>
      <c r="E51" s="64"/>
      <c r="F51" s="19"/>
      <c r="G51" s="442" t="s">
        <v>113</v>
      </c>
      <c r="H51" s="19"/>
      <c r="I51" s="77">
        <f ca="1">FICHA!E25*FICHA!F25</f>
        <v>717.46635097127773</v>
      </c>
      <c r="J51" s="78">
        <f ca="1">IF(I51="-","-",I51/$D$5)</f>
        <v>17.936658774281945</v>
      </c>
      <c r="K51" s="78">
        <f ca="1">IF(J51="-","-",J51/$F$57)</f>
        <v>3.5915698072289191E-2</v>
      </c>
      <c r="L51" s="19"/>
      <c r="M51" s="79">
        <f ca="1">IF(I51="-","-",I51/$I$54)</f>
        <v>2.1722075954310691E-4</v>
      </c>
    </row>
    <row r="52" spans="2:13" s="21" customFormat="1">
      <c r="B52" s="72"/>
      <c r="C52" s="72" t="s">
        <v>62</v>
      </c>
      <c r="D52" s="88"/>
      <c r="E52" s="88"/>
      <c r="F52" s="75"/>
      <c r="G52" s="450" t="s">
        <v>113</v>
      </c>
      <c r="H52" s="75"/>
      <c r="I52" s="73">
        <f>SUM(FICHA!J30:J32)</f>
        <v>52494.42</v>
      </c>
      <c r="J52" s="74">
        <f>IF(I52="-","-",I52/$D$5)</f>
        <v>1312.3605</v>
      </c>
      <c r="K52" s="74">
        <f ca="1">IF(J52="-","-",J52/$F$57)</f>
        <v>2.6278218297591156</v>
      </c>
      <c r="L52" s="75"/>
      <c r="M52" s="76">
        <f ca="1">IF(I52="-","-",I52/$I$54)</f>
        <v>1.5893257946854363E-2</v>
      </c>
    </row>
    <row r="53" spans="2:13" ht="4.5" customHeight="1" thickBot="1">
      <c r="B53" s="63"/>
      <c r="C53" s="63"/>
      <c r="D53" s="63"/>
      <c r="E53" s="63"/>
      <c r="F53" s="19"/>
      <c r="G53" s="448"/>
      <c r="H53" s="19"/>
      <c r="I53" s="64"/>
      <c r="J53" s="81"/>
      <c r="K53" s="81"/>
      <c r="L53" s="63"/>
      <c r="M53" s="85"/>
    </row>
    <row r="54" spans="2:13" s="63" customFormat="1" ht="17.100000000000001" customHeight="1" thickBot="1">
      <c r="C54" s="425" t="s">
        <v>140</v>
      </c>
      <c r="D54" s="426"/>
      <c r="E54" s="426"/>
      <c r="F54" s="434"/>
      <c r="G54" s="23"/>
      <c r="H54" s="451"/>
      <c r="I54" s="431">
        <f ca="1">SUM(I40:I42)</f>
        <v>3302936.3882179884</v>
      </c>
      <c r="J54" s="431">
        <f ca="1">SUM(J40:J42)</f>
        <v>82573.409705449696</v>
      </c>
      <c r="K54" s="432">
        <f ca="1">SUM(K40:K42)</f>
        <v>165.34192287989771</v>
      </c>
      <c r="M54" s="433">
        <f ca="1">SUM(M40:M42)</f>
        <v>1</v>
      </c>
    </row>
    <row r="55" spans="2:13" ht="12.95" customHeight="1">
      <c r="C55" s="12" t="s">
        <v>263</v>
      </c>
      <c r="E55" s="13"/>
      <c r="G55" s="18"/>
      <c r="H55" s="18"/>
    </row>
    <row r="56" spans="2:13" ht="11.1" customHeight="1">
      <c r="C56" s="12" t="s">
        <v>253</v>
      </c>
      <c r="E56" s="13"/>
      <c r="G56" s="18"/>
      <c r="H56" s="18"/>
    </row>
    <row r="57" spans="2:13" s="21" customFormat="1" ht="11.1" customHeight="1">
      <c r="C57" s="12" t="s">
        <v>231</v>
      </c>
      <c r="F57" s="58">
        <f ca="1">FICHA!J34</f>
        <v>499.41</v>
      </c>
    </row>
    <row r="58" spans="2:13" ht="11.1" customHeight="1">
      <c r="C58" s="14" t="s">
        <v>130</v>
      </c>
    </row>
    <row r="59" spans="2:13">
      <c r="I59" s="129"/>
      <c r="J59" s="11"/>
    </row>
  </sheetData>
  <sheetProtection algorithmName="SHA-512" hashValue="zMQo3gynV2Z8eexXPg8Y4IY5Ovn0HoX+va6LEQZDEicC94GVdvLcGuZa6zKNyQ2uABNuosXbGQcmXNZoKFJ7Vw==" saltValue="zC0Btv5M9cUU9JCaMrcw6Q==" spinCount="100000" sheet="1" objects="1" scenarios="1"/>
  <phoneticPr fontId="5" type="noConversion"/>
  <hyperlinks>
    <hyperlink ref="R18" r:id="rId1" display="WEB" xr:uid="{BB9D6B0A-2E5A-4F65-AFB7-266BAF3D73EE}"/>
  </hyperlinks>
  <printOptions horizontalCentered="1" verticalCentered="1"/>
  <pageMargins left="0.39370078740157483" right="0.39370078740157483" top="0.39370078740157483" bottom="0.39370078740157483" header="0" footer="0"/>
  <pageSetup scale="86" orientation="portrait" r:id="rId2"/>
  <headerFooter alignWithMargins="0"/>
  <ignoredErrors>
    <ignoredError sqref="J47:K47 M47 M4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B1:I48"/>
  <sheetViews>
    <sheetView showGridLines="0" workbookViewId="0">
      <selection activeCell="K35" sqref="K35"/>
    </sheetView>
  </sheetViews>
  <sheetFormatPr baseColWidth="10" defaultColWidth="10.7109375" defaultRowHeight="12.75"/>
  <cols>
    <col min="1" max="1" width="1.28515625" customWidth="1"/>
    <col min="2" max="2" width="17.5703125" customWidth="1"/>
    <col min="3" max="3" width="11.85546875" customWidth="1"/>
    <col min="4" max="6" width="12.42578125" customWidth="1"/>
    <col min="7" max="7" width="2.28515625" customWidth="1"/>
    <col min="8" max="8" width="12.42578125" customWidth="1"/>
    <col min="9" max="9" width="1.28515625" customWidth="1"/>
  </cols>
  <sheetData>
    <row r="1" spans="2:8" ht="18">
      <c r="B1" s="32" t="str">
        <f>'R1-Estruc'!B1</f>
        <v>Estructura de Costos de Producción Agrícola de Café Fruta</v>
      </c>
      <c r="C1" s="8"/>
      <c r="D1" s="20"/>
      <c r="E1" s="20"/>
      <c r="F1" s="20"/>
      <c r="G1" s="20"/>
      <c r="H1" s="20"/>
    </row>
    <row r="2" spans="2:8" ht="18.75">
      <c r="B2" s="32" t="s">
        <v>268</v>
      </c>
      <c r="C2" s="8"/>
      <c r="D2" s="20"/>
      <c r="E2" s="20"/>
      <c r="F2" s="20"/>
      <c r="G2" s="20"/>
      <c r="H2" s="20"/>
    </row>
    <row r="3" spans="2:8" ht="18">
      <c r="B3" s="32" t="str">
        <f>'R1-Estruc'!B3</f>
        <v>Cosecha 2026-2027 (abr-mar)</v>
      </c>
      <c r="C3" s="8"/>
      <c r="D3" s="20"/>
      <c r="E3" s="20"/>
      <c r="F3" s="20"/>
      <c r="G3" s="20"/>
      <c r="H3" s="20"/>
    </row>
    <row r="4" spans="2:8" ht="7.5" customHeight="1">
      <c r="B4" s="32"/>
      <c r="C4" s="8"/>
      <c r="D4" s="20"/>
      <c r="E4" s="20"/>
      <c r="F4" s="20"/>
      <c r="G4" s="20"/>
      <c r="H4" s="20"/>
    </row>
    <row r="5" spans="2:8" ht="19.5" customHeight="1">
      <c r="B5" s="170" t="s">
        <v>15</v>
      </c>
      <c r="C5" s="255">
        <f>FICHA!J5</f>
        <v>40</v>
      </c>
      <c r="D5" s="170" t="s">
        <v>243</v>
      </c>
      <c r="E5" s="21"/>
      <c r="F5" s="21"/>
      <c r="G5" s="21"/>
      <c r="H5" s="21"/>
    </row>
    <row r="6" spans="2:8" ht="13.5" thickBot="1"/>
    <row r="7" spans="2:8" ht="13.5" thickBot="1">
      <c r="D7" s="497" t="s">
        <v>64</v>
      </c>
      <c r="E7" s="498"/>
      <c r="F7" s="15" t="s">
        <v>65</v>
      </c>
      <c r="G7" s="15"/>
      <c r="H7" s="499" t="s">
        <v>73</v>
      </c>
    </row>
    <row r="8" spans="2:8" ht="13.5" thickBot="1">
      <c r="B8" s="6" t="s">
        <v>66</v>
      </c>
      <c r="C8" s="6"/>
      <c r="D8" s="7" t="s">
        <v>67</v>
      </c>
      <c r="E8" s="24" t="s">
        <v>68</v>
      </c>
      <c r="F8" s="7" t="s">
        <v>69</v>
      </c>
      <c r="G8" s="15"/>
      <c r="H8" s="500" t="s">
        <v>74</v>
      </c>
    </row>
    <row r="9" spans="2:8" ht="18" customHeight="1">
      <c r="B9" t="s">
        <v>1</v>
      </c>
      <c r="D9" s="1">
        <f>FICHA!B4*FICHA!$E$5</f>
        <v>41378.764293275097</v>
      </c>
      <c r="E9" s="59" t="s">
        <v>27</v>
      </c>
      <c r="F9" s="59" t="s">
        <v>27</v>
      </c>
      <c r="G9" s="1"/>
      <c r="H9" s="60">
        <f t="shared" ref="H9:H20" si="0">SUM(D9:F9)</f>
        <v>41378.764293275097</v>
      </c>
    </row>
    <row r="10" spans="2:8">
      <c r="B10" t="s">
        <v>2</v>
      </c>
      <c r="D10" s="1">
        <f>FICHA!B5*FICHA!$E$5</f>
        <v>80914.749609926599</v>
      </c>
      <c r="E10" s="59" t="s">
        <v>27</v>
      </c>
      <c r="F10" s="59" t="s">
        <v>27</v>
      </c>
      <c r="G10" s="1"/>
      <c r="H10" s="61">
        <f t="shared" si="0"/>
        <v>80914.749609926599</v>
      </c>
    </row>
    <row r="11" spans="2:8">
      <c r="B11" t="s">
        <v>3</v>
      </c>
      <c r="D11" s="1">
        <f>FICHA!B6*FICHA!$E$5</f>
        <v>73878.684426454725</v>
      </c>
      <c r="E11" s="59" t="s">
        <v>27</v>
      </c>
      <c r="F11" s="59" t="s">
        <v>27</v>
      </c>
      <c r="G11" s="1"/>
      <c r="H11" s="61">
        <f t="shared" si="0"/>
        <v>73878.684426454725</v>
      </c>
    </row>
    <row r="12" spans="2:8">
      <c r="B12" t="s">
        <v>4</v>
      </c>
      <c r="D12" s="1">
        <f>FICHA!B7*FICHA!$E$5</f>
        <v>0</v>
      </c>
      <c r="E12" s="59">
        <f>'R1-Estruc'!I15</f>
        <v>0</v>
      </c>
      <c r="F12" s="59" t="s">
        <v>27</v>
      </c>
      <c r="G12" s="1"/>
      <c r="H12" s="61">
        <f t="shared" si="0"/>
        <v>0</v>
      </c>
    </row>
    <row r="13" spans="2:8">
      <c r="B13" t="s">
        <v>534</v>
      </c>
      <c r="D13" s="1">
        <f>FICHA!B8*FICHA!$E$5</f>
        <v>42383.916462342509</v>
      </c>
      <c r="E13" s="59">
        <f>SUM('R1-Estruc'!I16:I17)</f>
        <v>431175.77105263143</v>
      </c>
      <c r="F13" s="59" t="s">
        <v>27</v>
      </c>
      <c r="G13" s="1"/>
      <c r="H13" s="61">
        <f t="shared" si="0"/>
        <v>473559.68751497392</v>
      </c>
    </row>
    <row r="14" spans="2:8">
      <c r="B14" t="s">
        <v>5</v>
      </c>
      <c r="D14" s="1">
        <f>FICHA!B9*FICHA!$E$5</f>
        <v>20270.568742859457</v>
      </c>
      <c r="E14" s="59">
        <f>'R1-Estruc'!I18</f>
        <v>72101.157226666677</v>
      </c>
      <c r="F14" s="59" t="s">
        <v>27</v>
      </c>
      <c r="G14" s="1"/>
      <c r="H14" s="61">
        <f t="shared" si="0"/>
        <v>92371.725969526131</v>
      </c>
    </row>
    <row r="15" spans="2:8">
      <c r="B15" t="s">
        <v>6</v>
      </c>
      <c r="D15" s="1">
        <f>FICHA!B10*FICHA!$E$5</f>
        <v>107551.282090213</v>
      </c>
      <c r="E15" s="59">
        <f>SUM('R1-Estruc'!I19:I23)</f>
        <v>182841.19220285059</v>
      </c>
      <c r="F15" s="59" t="s">
        <v>27</v>
      </c>
      <c r="G15" s="1"/>
      <c r="H15" s="61">
        <f t="shared" si="0"/>
        <v>290392.47429306363</v>
      </c>
    </row>
    <row r="16" spans="2:8">
      <c r="B16" s="9" t="s">
        <v>380</v>
      </c>
      <c r="D16" s="1">
        <f>FICHA!B11*FICHA!$E$5</f>
        <v>44729.271523499796</v>
      </c>
      <c r="E16" s="59" t="s">
        <v>27</v>
      </c>
      <c r="F16" s="59" t="s">
        <v>27</v>
      </c>
      <c r="G16" s="1"/>
      <c r="H16" s="61">
        <f t="shared" si="0"/>
        <v>44729.271523499796</v>
      </c>
    </row>
    <row r="17" spans="2:8">
      <c r="B17" s="9" t="s">
        <v>381</v>
      </c>
      <c r="D17" s="1">
        <f>FICHA!B12*FICHA!$E$5</f>
        <v>69690.550388673844</v>
      </c>
      <c r="E17" s="59">
        <f>SUM('R1-Estruc'!I24:I26)</f>
        <v>30737.711541575878</v>
      </c>
      <c r="F17" s="59" t="s">
        <v>27</v>
      </c>
      <c r="G17" s="1"/>
      <c r="H17" s="61">
        <f t="shared" si="0"/>
        <v>100428.26193024972</v>
      </c>
    </row>
    <row r="18" spans="2:8">
      <c r="B18" t="s">
        <v>9</v>
      </c>
      <c r="D18" s="1">
        <f>FICHA!B13*FICHA!$E$5</f>
        <v>38530.833147584097</v>
      </c>
      <c r="E18" s="59">
        <f>SUM('R1-Estruc'!I27:I28)</f>
        <v>15664.521317460316</v>
      </c>
      <c r="F18" s="59" t="s">
        <v>27</v>
      </c>
      <c r="G18" s="1"/>
      <c r="H18" s="61">
        <f t="shared" si="0"/>
        <v>54195.354465044409</v>
      </c>
    </row>
    <row r="19" spans="2:8">
      <c r="B19" t="s">
        <v>71</v>
      </c>
      <c r="D19" s="1">
        <f>FICHA!B14*FICHA!$E$5</f>
        <v>51262.760622437971</v>
      </c>
      <c r="E19" s="59" t="s">
        <v>27</v>
      </c>
      <c r="F19" s="59" t="s">
        <v>27</v>
      </c>
      <c r="G19" s="1"/>
      <c r="H19" s="61">
        <f t="shared" si="0"/>
        <v>51262.760622437971</v>
      </c>
    </row>
    <row r="20" spans="2:8">
      <c r="B20" t="s">
        <v>20</v>
      </c>
      <c r="D20" s="1">
        <f>SUM(D9:D19)*FICHA!E6</f>
        <v>259333.78280415293</v>
      </c>
      <c r="E20" s="59" t="s">
        <v>27</v>
      </c>
      <c r="F20" s="59" t="s">
        <v>27</v>
      </c>
      <c r="G20" s="1"/>
      <c r="H20" s="61">
        <f t="shared" si="0"/>
        <v>259333.78280415293</v>
      </c>
    </row>
    <row r="21" spans="2:8" ht="4.5" customHeight="1" thickBot="1">
      <c r="D21" s="22"/>
      <c r="E21" s="29"/>
      <c r="F21" s="29"/>
      <c r="G21" s="22"/>
      <c r="H21" s="30"/>
    </row>
    <row r="22" spans="2:8">
      <c r="B22" s="798" t="s">
        <v>72</v>
      </c>
      <c r="C22" s="482" t="s">
        <v>113</v>
      </c>
      <c r="D22" s="483">
        <f>SUM(D9:D21)</f>
        <v>829925.16411142005</v>
      </c>
      <c r="E22" s="484">
        <f>SUM(E9:E21)</f>
        <v>732520.35334118491</v>
      </c>
      <c r="F22" s="485">
        <f>SUM(F9:F21)</f>
        <v>0</v>
      </c>
      <c r="G22" s="1"/>
      <c r="H22" s="494">
        <f>SUM(H9:H21)</f>
        <v>1562445.5174526048</v>
      </c>
    </row>
    <row r="23" spans="2:8">
      <c r="B23" s="799"/>
      <c r="C23" s="486" t="s">
        <v>259</v>
      </c>
      <c r="D23" s="487">
        <f>D22/FICHA!$J$5</f>
        <v>20748.1291027855</v>
      </c>
      <c r="E23" s="488">
        <f>E22/FICHA!$J$5</f>
        <v>18313.008833529624</v>
      </c>
      <c r="F23" s="489">
        <f>F22/FICHA!$J$5</f>
        <v>0</v>
      </c>
      <c r="G23" s="1"/>
      <c r="H23" s="495">
        <f>H22/FICHA!$J$5</f>
        <v>39061.137936315121</v>
      </c>
    </row>
    <row r="24" spans="2:8" ht="15" thickBot="1">
      <c r="B24" s="800"/>
      <c r="C24" s="490" t="s">
        <v>260</v>
      </c>
      <c r="D24" s="491">
        <f ca="1">D23/FICHA!$J$34</f>
        <v>41.545281637903727</v>
      </c>
      <c r="E24" s="492">
        <f ca="1">E23/FICHA!$J$34</f>
        <v>36.669287426222191</v>
      </c>
      <c r="F24" s="493">
        <f ca="1">F23/FICHA!$J$34</f>
        <v>0</v>
      </c>
      <c r="G24" s="1"/>
      <c r="H24" s="496">
        <f ca="1">H23/FICHA!$J$34</f>
        <v>78.214569064125911</v>
      </c>
    </row>
    <row r="25" spans="2:8" ht="6" customHeight="1">
      <c r="B25" s="26"/>
      <c r="C25" s="26"/>
      <c r="D25" s="2"/>
      <c r="E25" s="27"/>
      <c r="F25" s="25"/>
      <c r="G25" s="15"/>
      <c r="H25" s="31"/>
    </row>
    <row r="26" spans="2:8">
      <c r="B26" t="s">
        <v>184</v>
      </c>
      <c r="D26" s="1">
        <f>'R1-Estruc'!I33</f>
        <v>1267687.2</v>
      </c>
      <c r="E26" s="28" t="s">
        <v>27</v>
      </c>
      <c r="F26" s="59" t="s">
        <v>27</v>
      </c>
      <c r="G26" s="22"/>
      <c r="H26" s="30">
        <f>SUM(D26:F26)</f>
        <v>1267687.2</v>
      </c>
    </row>
    <row r="27" spans="2:8">
      <c r="B27" t="s">
        <v>185</v>
      </c>
      <c r="C27" s="3"/>
      <c r="D27" s="1" t="s">
        <v>27</v>
      </c>
      <c r="E27" s="28" t="s">
        <v>27</v>
      </c>
      <c r="F27" s="59">
        <f>'R1-Estruc'!I35</f>
        <v>97726.433000000005</v>
      </c>
      <c r="G27" s="22"/>
      <c r="H27" s="30">
        <f>SUM(D27:F27)</f>
        <v>97726.433000000005</v>
      </c>
    </row>
    <row r="28" spans="2:8" ht="4.5" customHeight="1" thickBot="1">
      <c r="D28" s="22"/>
      <c r="E28" s="29"/>
      <c r="F28" s="29"/>
      <c r="G28" s="22"/>
      <c r="H28" s="30"/>
    </row>
    <row r="29" spans="2:8">
      <c r="B29" s="798" t="s">
        <v>150</v>
      </c>
      <c r="C29" s="482" t="s">
        <v>113</v>
      </c>
      <c r="D29" s="483">
        <f>SUM(D22,D26:D28)</f>
        <v>2097612.3641114198</v>
      </c>
      <c r="E29" s="484">
        <f>SUM(E22,E26:E28)</f>
        <v>732520.35334118491</v>
      </c>
      <c r="F29" s="485">
        <f>SUM(F22,F26:F28)</f>
        <v>97726.433000000005</v>
      </c>
      <c r="G29" s="1"/>
      <c r="H29" s="494">
        <f>SUM(H22,H26:H28)</f>
        <v>2927859.150452605</v>
      </c>
    </row>
    <row r="30" spans="2:8">
      <c r="B30" s="799"/>
      <c r="C30" s="486" t="s">
        <v>259</v>
      </c>
      <c r="D30" s="487">
        <f>D29/FICHA!$J$5</f>
        <v>52440.309102785497</v>
      </c>
      <c r="E30" s="488">
        <f>E29/FICHA!$J$5</f>
        <v>18313.008833529624</v>
      </c>
      <c r="F30" s="489">
        <f>F29/FICHA!$J$5</f>
        <v>2443.1608249999999</v>
      </c>
      <c r="G30" s="1"/>
      <c r="H30" s="495">
        <f>H29/FICHA!$J$5</f>
        <v>73196.478761315127</v>
      </c>
    </row>
    <row r="31" spans="2:8" ht="15" thickBot="1">
      <c r="B31" s="800" t="s">
        <v>70</v>
      </c>
      <c r="C31" s="490" t="s">
        <v>260</v>
      </c>
      <c r="D31" s="491">
        <f ca="1">D30/FICHA!$J$34</f>
        <v>105.00452354335215</v>
      </c>
      <c r="E31" s="492">
        <f ca="1">E30/FICHA!$J$34</f>
        <v>36.669287426222191</v>
      </c>
      <c r="F31" s="493">
        <f ca="1">F30/FICHA!$J$34</f>
        <v>4.8920943212991324</v>
      </c>
      <c r="G31" s="1"/>
      <c r="H31" s="496">
        <f ca="1">H30/FICHA!$J$34</f>
        <v>146.56590529087347</v>
      </c>
    </row>
    <row r="32" spans="2:8" ht="6" customHeight="1">
      <c r="B32" s="26"/>
      <c r="C32" s="26"/>
      <c r="D32" s="1"/>
      <c r="E32" s="62"/>
      <c r="F32" s="25"/>
      <c r="G32" s="15"/>
      <c r="H32" s="61"/>
    </row>
    <row r="33" spans="2:9">
      <c r="B33" s="9" t="s">
        <v>142</v>
      </c>
      <c r="D33" s="1" t="s">
        <v>27</v>
      </c>
      <c r="E33" s="28" t="s">
        <v>27</v>
      </c>
      <c r="F33" s="59">
        <f>'R1-Estruc'!I43</f>
        <v>190879.12050000002</v>
      </c>
      <c r="G33" s="1"/>
      <c r="H33" s="61">
        <f>SUM(D33:F33)</f>
        <v>190879.12050000002</v>
      </c>
    </row>
    <row r="34" spans="2:9">
      <c r="B34" s="9" t="s">
        <v>63</v>
      </c>
      <c r="D34" s="1" t="s">
        <v>27</v>
      </c>
      <c r="E34" s="28" t="s">
        <v>27</v>
      </c>
      <c r="F34" s="59">
        <f ca="1">'R1-Estruc'!I44</f>
        <v>26831.09303700849</v>
      </c>
      <c r="G34" s="1"/>
      <c r="H34" s="61">
        <f ca="1">SUM(D34:F34)</f>
        <v>26831.09303700849</v>
      </c>
    </row>
    <row r="35" spans="2:9">
      <c r="B35" s="9" t="s">
        <v>61</v>
      </c>
      <c r="D35" s="1" t="s">
        <v>27</v>
      </c>
      <c r="E35" s="28" t="s">
        <v>27</v>
      </c>
      <c r="F35" s="59">
        <f ca="1">'R1-Estruc'!I47</f>
        <v>104872.604228375</v>
      </c>
      <c r="G35" s="1"/>
      <c r="H35" s="61">
        <f ca="1">SUM(D35:F35)</f>
        <v>104872.604228375</v>
      </c>
    </row>
    <row r="36" spans="2:9">
      <c r="B36" t="s">
        <v>132</v>
      </c>
      <c r="D36" s="1" t="s">
        <v>27</v>
      </c>
      <c r="E36" s="28" t="s">
        <v>27</v>
      </c>
      <c r="F36" s="59">
        <f>'R1-Estruc'!I52</f>
        <v>52494.42</v>
      </c>
      <c r="G36" s="1"/>
      <c r="H36" s="61">
        <f>SUM(D36:F36)</f>
        <v>52494.42</v>
      </c>
    </row>
    <row r="37" spans="2:9" ht="4.5" customHeight="1" thickBot="1">
      <c r="D37" s="1"/>
      <c r="E37" s="59"/>
      <c r="F37" s="59"/>
      <c r="G37" s="1"/>
      <c r="H37" s="61"/>
    </row>
    <row r="38" spans="2:9">
      <c r="B38" s="801" t="s">
        <v>75</v>
      </c>
      <c r="C38" s="467" t="s">
        <v>113</v>
      </c>
      <c r="D38" s="468">
        <f>SUM(D33:D37)</f>
        <v>0</v>
      </c>
      <c r="E38" s="469">
        <f>SUM(E33:E37)</f>
        <v>0</v>
      </c>
      <c r="F38" s="470">
        <f ca="1">SUM(F33:F37)</f>
        <v>375077.2377653835</v>
      </c>
      <c r="G38" s="1"/>
      <c r="H38" s="479">
        <f ca="1">SUM(H33:H37)</f>
        <v>375077.2377653835</v>
      </c>
    </row>
    <row r="39" spans="2:9">
      <c r="B39" s="802"/>
      <c r="C39" s="471" t="s">
        <v>259</v>
      </c>
      <c r="D39" s="472">
        <f>D38/FICHA!$J$5</f>
        <v>0</v>
      </c>
      <c r="E39" s="473">
        <f>E38/FICHA!$J$5</f>
        <v>0</v>
      </c>
      <c r="F39" s="474">
        <f ca="1">F38/FICHA!$J$5</f>
        <v>9376.9309441345868</v>
      </c>
      <c r="G39" s="1"/>
      <c r="H39" s="480">
        <f ca="1">H38/FICHA!$J$5</f>
        <v>9376.9309441345868</v>
      </c>
    </row>
    <row r="40" spans="2:9" ht="15" thickBot="1">
      <c r="B40" s="803"/>
      <c r="C40" s="475" t="s">
        <v>260</v>
      </c>
      <c r="D40" s="476">
        <f ca="1">D39/FICHA!$J$34</f>
        <v>0</v>
      </c>
      <c r="E40" s="477">
        <f ca="1">E39/FICHA!$J$34</f>
        <v>0</v>
      </c>
      <c r="F40" s="478">
        <f ca="1">F39/FICHA!$J$34</f>
        <v>18.776017589024221</v>
      </c>
      <c r="G40" s="1"/>
      <c r="H40" s="481">
        <f ca="1">H39/FICHA!$J$34</f>
        <v>18.776017589024221</v>
      </c>
    </row>
    <row r="41" spans="2:9" ht="13.5" thickBot="1">
      <c r="E41" s="33"/>
    </row>
    <row r="42" spans="2:9" s="34" customFormat="1" ht="15" customHeight="1" thickTop="1">
      <c r="B42" s="804" t="s">
        <v>77</v>
      </c>
      <c r="C42" s="452" t="s">
        <v>113</v>
      </c>
      <c r="D42" s="453">
        <f>SUM(D29,D38)</f>
        <v>2097612.3641114198</v>
      </c>
      <c r="E42" s="454">
        <f>SUM(E29,E38)</f>
        <v>732520.35334118491</v>
      </c>
      <c r="F42" s="455">
        <f ca="1">SUM(F29,F38)</f>
        <v>472803.67076538352</v>
      </c>
      <c r="G42" s="171"/>
      <c r="H42" s="464">
        <f ca="1">SUM(H29,H38)</f>
        <v>3302936.3882179884</v>
      </c>
    </row>
    <row r="43" spans="2:9" s="34" customFormat="1" ht="15" customHeight="1">
      <c r="B43" s="805" t="s">
        <v>76</v>
      </c>
      <c r="C43" s="456" t="s">
        <v>259</v>
      </c>
      <c r="D43" s="457">
        <f>D42/FICHA!$J$5</f>
        <v>52440.309102785497</v>
      </c>
      <c r="E43" s="458">
        <f>E42/FICHA!$J$5</f>
        <v>18313.008833529624</v>
      </c>
      <c r="F43" s="459">
        <f ca="1">F42/FICHA!$J$5</f>
        <v>11820.091769134588</v>
      </c>
      <c r="G43" s="171"/>
      <c r="H43" s="465">
        <f ca="1">H42/FICHA!$J$5</f>
        <v>82573.409705449711</v>
      </c>
    </row>
    <row r="44" spans="2:9" s="34" customFormat="1" ht="15" customHeight="1" thickBot="1">
      <c r="B44" s="806"/>
      <c r="C44" s="460" t="s">
        <v>261</v>
      </c>
      <c r="D44" s="461">
        <f ca="1">D43/FICHA!$J$34</f>
        <v>105.00452354335215</v>
      </c>
      <c r="E44" s="462">
        <f ca="1">E43/FICHA!$J$34</f>
        <v>36.669287426222191</v>
      </c>
      <c r="F44" s="463">
        <f ca="1">F43/FICHA!$J$34</f>
        <v>23.668111910323354</v>
      </c>
      <c r="G44" s="171"/>
      <c r="H44" s="466">
        <f ca="1">H43/FICHA!$J$34</f>
        <v>165.34192287989768</v>
      </c>
    </row>
    <row r="45" spans="2:9" ht="14.1" customHeight="1" thickTop="1">
      <c r="B45" s="12" t="s">
        <v>258</v>
      </c>
      <c r="C45" s="12"/>
      <c r="D45" s="12"/>
      <c r="E45" s="12"/>
    </row>
    <row r="46" spans="2:9" ht="12" customHeight="1">
      <c r="B46" s="12" t="s">
        <v>262</v>
      </c>
      <c r="C46" s="12"/>
      <c r="D46" s="12"/>
      <c r="E46" s="12"/>
      <c r="I46" s="2"/>
    </row>
    <row r="47" spans="2:9" ht="12" customHeight="1">
      <c r="B47" s="12" t="s">
        <v>231</v>
      </c>
      <c r="C47" s="12"/>
      <c r="D47" s="12"/>
      <c r="E47" s="221">
        <f ca="1">FICHA!J34</f>
        <v>499.41</v>
      </c>
    </row>
    <row r="48" spans="2:9" ht="12" customHeight="1">
      <c r="B48" s="14" t="str">
        <f>'R1-Estruc'!C58</f>
        <v>Fuente: Instituto del Café de Costa Rica (ICAFE).</v>
      </c>
      <c r="C48" s="12"/>
      <c r="D48" s="12"/>
      <c r="E48" s="12"/>
    </row>
  </sheetData>
  <sheetProtection algorithmName="SHA-512" hashValue="Q9RFBbvKNM9xds6PRVYznXbdFteW38dmguKoqkyGlZEPyj7TDIZujNiJYBJZ9F58+6JxNeVutva0ZiZqs4AlYQ==" saltValue="GB3rllDQzdyhRFyYS6E5Ug==" spinCount="100000" sheet="1" objects="1" scenarios="1"/>
  <mergeCells count="4">
    <mergeCell ref="B22:B24"/>
    <mergeCell ref="B29:B31"/>
    <mergeCell ref="B38:B40"/>
    <mergeCell ref="B42:B44"/>
  </mergeCells>
  <phoneticPr fontId="5" type="noConversion"/>
  <printOptions horizontalCentered="1" verticalCentered="1"/>
  <pageMargins left="0.74803149606299213" right="0.74803149606299213" top="0.98425196850393704" bottom="0.98425196850393704" header="0" footer="0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PRES</vt:lpstr>
      <vt:lpstr>UNIT</vt:lpstr>
      <vt:lpstr>TECNICO</vt:lpstr>
      <vt:lpstr>ATOM</vt:lpstr>
      <vt:lpstr>BASE (MO)</vt:lpstr>
      <vt:lpstr>AGOT</vt:lpstr>
      <vt:lpstr>FICHA</vt:lpstr>
      <vt:lpstr>R1-Estruc</vt:lpstr>
      <vt:lpstr>R2-Labor</vt:lpstr>
      <vt:lpstr>Resumen</vt:lpstr>
      <vt:lpstr>INVENT</vt:lpstr>
      <vt:lpstr>TC</vt:lpstr>
      <vt:lpstr>Cronograma</vt:lpstr>
      <vt:lpstr>Hoja1</vt:lpstr>
      <vt:lpstr>USD-kg</vt:lpstr>
      <vt:lpstr>RES</vt:lpstr>
      <vt:lpstr>ATOM!Área_de_impresión</vt:lpstr>
      <vt:lpstr>'BASE (MO)'!Área_de_impresión</vt:lpstr>
      <vt:lpstr>FICHA!Área_de_impresión</vt:lpstr>
      <vt:lpstr>INVENT!Área_de_impresión</vt:lpstr>
      <vt:lpstr>PRES!Área_de_impresión</vt:lpstr>
      <vt:lpstr>'R1-Estruc'!Área_de_impresión</vt:lpstr>
      <vt:lpstr>'R2-Labor'!Área_de_impresión</vt:lpstr>
      <vt:lpstr>TECNICO!Área_de_impresión</vt:lpstr>
      <vt:lpstr>'USD-kg'!Área_de_impresión</vt:lpstr>
    </vt:vector>
  </TitlesOfParts>
  <Company>Instituto del Café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Araya</dc:creator>
  <cp:lastModifiedBy>Marco Araya Molina</cp:lastModifiedBy>
  <cp:lastPrinted>2026-02-12T19:54:46Z</cp:lastPrinted>
  <dcterms:created xsi:type="dcterms:W3CDTF">2008-01-21T23:03:43Z</dcterms:created>
  <dcterms:modified xsi:type="dcterms:W3CDTF">2026-07-29T18:19:03Z</dcterms:modified>
</cp:coreProperties>
</file>