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afe-my.sharepoint.com/personal/maraya_icafe_cr/Documents/ICAFE/Modelo/Beneficiado/Cosecha 24-25/Estudio de Campo/Datos de Campo/TEXTO 2024-25/"/>
    </mc:Choice>
  </mc:AlternateContent>
  <xr:revisionPtr revIDLastSave="474" documentId="8_{45420C63-D9C2-43C6-ABFF-93B40400464D}" xr6:coauthVersionLast="47" xr6:coauthVersionMax="47" xr10:uidLastSave="{7D7CEE99-E44E-4A83-AA30-46D1F5C250FC}"/>
  <bookViews>
    <workbookView xWindow="-120" yWindow="-120" windowWidth="29040" windowHeight="15720" firstSheet="1" activeTab="1" xr2:uid="{00000000-000D-0000-FFFF-FFFF00000000}"/>
  </bookViews>
  <sheets>
    <sheet name="ASIG" sheetId="7" state="hidden" r:id="rId1"/>
    <sheet name="PRES" sheetId="6" r:id="rId2"/>
    <sheet name="DATOS" sheetId="2" r:id="rId3"/>
    <sheet name="BASE DATOS" sheetId="4" r:id="rId4"/>
    <sheet name="COSTO" sheetId="5" r:id="rId5"/>
    <sheet name="GRÁFICO" sheetId="9" r:id="rId6"/>
  </sheets>
  <definedNames>
    <definedName name="_xlnm.Print_Area" localSheetId="3">'BASE DATOS'!$A$1:$N$72</definedName>
    <definedName name="_xlnm.Print_Area" localSheetId="4">COSTO!$A$1:$J$42</definedName>
    <definedName name="_xlnm.Print_Area" localSheetId="2">DATOS!$A$1:$O$48</definedName>
    <definedName name="_xlnm.Print_Titles" localSheetId="3">'BASE DATOS'!$1:$5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E13" i="2"/>
  <c r="O39" i="4" l="1"/>
  <c r="P39" i="4" s="1"/>
  <c r="E7" i="2" l="1"/>
  <c r="K2" i="2"/>
  <c r="C2" i="9" s="1"/>
  <c r="I4" i="5" l="1"/>
  <c r="B4" i="5"/>
  <c r="E22" i="2"/>
  <c r="E30" i="2"/>
  <c r="E31" i="5"/>
  <c r="O48" i="4" l="1"/>
  <c r="P48" i="4" s="1"/>
  <c r="B3" i="5" l="1"/>
  <c r="R42" i="4" l="1"/>
  <c r="O42" i="4" s="1"/>
  <c r="C33" i="5" s="1"/>
  <c r="R38" i="4" l="1"/>
  <c r="R23" i="4"/>
  <c r="O38" i="4" s="1"/>
  <c r="G31" i="5"/>
  <c r="O36" i="4"/>
  <c r="P36" i="4" s="1"/>
  <c r="O23" i="4" l="1"/>
  <c r="O29" i="4"/>
  <c r="O24" i="4"/>
  <c r="R8" i="4" l="1"/>
  <c r="O8" i="4" s="1"/>
  <c r="O7" i="4" l="1"/>
  <c r="E28" i="2" l="1"/>
  <c r="O18" i="4" l="1"/>
  <c r="P18" i="4" s="1"/>
  <c r="O17" i="4"/>
  <c r="P17" i="4" s="1"/>
  <c r="O14" i="4"/>
  <c r="P14" i="4" s="1"/>
  <c r="O13" i="4"/>
  <c r="P13" i="4" s="1"/>
  <c r="O47" i="4" l="1"/>
  <c r="G13" i="2" l="1"/>
  <c r="G11" i="2"/>
  <c r="O27" i="4" s="1"/>
  <c r="C18" i="5"/>
  <c r="C12" i="5"/>
  <c r="E36" i="5" l="1"/>
  <c r="G36" i="5" s="1"/>
  <c r="O45" i="4"/>
  <c r="P45" i="4" s="1"/>
  <c r="O43" i="4"/>
  <c r="E33" i="5" s="1"/>
  <c r="E30" i="5"/>
  <c r="C30" i="5"/>
  <c r="C20" i="5"/>
  <c r="E28" i="5"/>
  <c r="G28" i="5" s="1"/>
  <c r="C10" i="9" s="1"/>
  <c r="G9" i="9" s="1"/>
  <c r="O34" i="4"/>
  <c r="P34" i="4" s="1"/>
  <c r="O33" i="4"/>
  <c r="C27" i="5"/>
  <c r="O31" i="4"/>
  <c r="P31" i="4" s="1"/>
  <c r="O30" i="4"/>
  <c r="E24" i="5" s="1"/>
  <c r="O28" i="4"/>
  <c r="O25" i="4"/>
  <c r="P25" i="4" s="1"/>
  <c r="E20" i="5"/>
  <c r="O20" i="4"/>
  <c r="P20" i="4" s="1"/>
  <c r="O9" i="4"/>
  <c r="P9" i="4" s="1"/>
  <c r="O19" i="4"/>
  <c r="P19" i="4" s="1"/>
  <c r="O16" i="4"/>
  <c r="P16" i="4" s="1"/>
  <c r="O12" i="4"/>
  <c r="P12" i="4" s="1"/>
  <c r="O15" i="4"/>
  <c r="P15" i="4" s="1"/>
  <c r="E10" i="5"/>
  <c r="E15" i="5" l="1"/>
  <c r="G30" i="5"/>
  <c r="G29" i="5" s="1"/>
  <c r="C11" i="9" s="1"/>
  <c r="G11" i="9" s="1"/>
  <c r="E16" i="5"/>
  <c r="G20" i="5"/>
  <c r="C16" i="5"/>
  <c r="E17" i="5"/>
  <c r="G17" i="5" s="1"/>
  <c r="P28" i="4"/>
  <c r="E23" i="5" s="1"/>
  <c r="E27" i="5"/>
  <c r="G27" i="5" s="1"/>
  <c r="C9" i="9" s="1"/>
  <c r="E34" i="5"/>
  <c r="G34" i="5" s="1"/>
  <c r="C13" i="9" s="1"/>
  <c r="P7" i="4"/>
  <c r="C10" i="5" s="1"/>
  <c r="G10" i="5" s="1"/>
  <c r="E25" i="5"/>
  <c r="G25" i="5" s="1"/>
  <c r="E11" i="5"/>
  <c r="G11" i="5" s="1"/>
  <c r="E21" i="5"/>
  <c r="G21" i="5" s="1"/>
  <c r="G33" i="5"/>
  <c r="C12" i="9" s="1"/>
  <c r="E37" i="5"/>
  <c r="G37" i="5" s="1"/>
  <c r="G35" i="5" s="1"/>
  <c r="C14" i="9" s="1"/>
  <c r="G8" i="9" s="1"/>
  <c r="C15" i="5"/>
  <c r="C4" i="9" l="1"/>
  <c r="G6" i="9"/>
  <c r="G14" i="9"/>
  <c r="G13" i="9"/>
  <c r="G15" i="5"/>
  <c r="G16" i="5"/>
  <c r="G19" i="5"/>
  <c r="C7" i="9" s="1"/>
  <c r="G12" i="5"/>
  <c r="D20" i="2"/>
  <c r="G10" i="9" l="1"/>
  <c r="G12" i="9"/>
  <c r="G9" i="5"/>
  <c r="C5" i="9"/>
  <c r="G4" i="9" s="1"/>
  <c r="G18" i="5"/>
  <c r="G14" i="5" s="1"/>
  <c r="C24" i="5"/>
  <c r="G24" i="5" s="1"/>
  <c r="C23" i="5"/>
  <c r="G23" i="5" s="1"/>
  <c r="G13" i="5" l="1"/>
  <c r="C6" i="9"/>
  <c r="G22" i="5"/>
  <c r="G5" i="9" l="1"/>
  <c r="G39" i="5"/>
  <c r="I34" i="5" s="1"/>
  <c r="C8" i="9"/>
  <c r="C15" i="9" s="1"/>
  <c r="D6" i="9" s="1"/>
  <c r="I14" i="5" l="1"/>
  <c r="I9" i="5"/>
  <c r="I24" i="5"/>
  <c r="I11" i="5"/>
  <c r="I19" i="5"/>
  <c r="I25" i="5"/>
  <c r="I21" i="5"/>
  <c r="I18" i="5"/>
  <c r="I30" i="5"/>
  <c r="I33" i="5"/>
  <c r="I15" i="5"/>
  <c r="I16" i="5"/>
  <c r="I35" i="5"/>
  <c r="I17" i="5"/>
  <c r="I20" i="5"/>
  <c r="I28" i="5"/>
  <c r="I23" i="5"/>
  <c r="G40" i="5"/>
  <c r="I22" i="5"/>
  <c r="I31" i="5"/>
  <c r="D14" i="9"/>
  <c r="D10" i="9"/>
  <c r="H6" i="9"/>
  <c r="H5" i="9"/>
  <c r="D11" i="9"/>
  <c r="D12" i="9"/>
  <c r="D9" i="9"/>
  <c r="D13" i="9"/>
  <c r="D7" i="9"/>
  <c r="D4" i="9"/>
  <c r="H4" i="9"/>
  <c r="I4" i="9" s="1"/>
  <c r="D5" i="9"/>
  <c r="I29" i="5"/>
  <c r="I13" i="5"/>
  <c r="I12" i="5"/>
  <c r="I37" i="5"/>
  <c r="I27" i="5"/>
  <c r="I10" i="5"/>
  <c r="I36" i="5"/>
  <c r="G7" i="9"/>
  <c r="H7" i="9" s="1"/>
  <c r="D8" i="9"/>
  <c r="I7" i="9" l="1"/>
  <c r="H8" i="9"/>
  <c r="I8" i="9" s="1"/>
  <c r="H12" i="9"/>
  <c r="H9" i="9"/>
  <c r="I39" i="5"/>
  <c r="D15" i="9"/>
  <c r="H10" i="9"/>
  <c r="H11" i="9"/>
  <c r="I5" i="9"/>
  <c r="I6" i="9"/>
  <c r="I9" i="9" l="1"/>
  <c r="I12" i="9"/>
  <c r="I10" i="9"/>
  <c r="I11" i="9"/>
  <c r="I13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Marco Araya Molina</author>
  </authors>
  <commentList>
    <comment ref="B2" authorId="0" shapeId="0" xr:uid="{56483BDE-57FB-4F22-89F3-ECEFBBFD06BB}">
      <text>
        <r>
          <rPr>
            <b/>
            <sz val="9"/>
            <color indexed="81"/>
            <rFont val="Tahoma"/>
            <family val="2"/>
          </rPr>
          <t>Marco Araya Molina:</t>
        </r>
        <r>
          <rPr>
            <sz val="9"/>
            <color indexed="81"/>
            <rFont val="Tahoma"/>
            <family val="2"/>
          </rPr>
          <t xml:space="preserve">
Beneficios que operaron en la cosecha del estudio y los que están operando en la cosecha actual.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maraya</author>
  </authors>
  <commentList>
    <comment ref="E11" authorId="0" shapeId="0" xr:uid="{C203E9A6-C556-443B-BA86-463E4989A879}">
      <text>
        <r>
          <rPr>
            <sz val="10"/>
            <color indexed="9"/>
            <rFont val="Arial"/>
            <family val="2"/>
          </rPr>
          <t xml:space="preserve">Digitar la cantidad de </t>
        </r>
        <r>
          <rPr>
            <b/>
            <u/>
            <sz val="10"/>
            <color indexed="51"/>
            <rFont val="Arial"/>
            <family val="2"/>
          </rPr>
          <t>CAFÉ</t>
        </r>
        <r>
          <rPr>
            <b/>
            <sz val="10"/>
            <color indexed="9"/>
            <rFont val="Arial"/>
            <family val="2"/>
          </rPr>
          <t xml:space="preserve"> </t>
        </r>
        <r>
          <rPr>
            <b/>
            <u/>
            <sz val="10"/>
            <color indexed="51"/>
            <rFont val="Arial"/>
            <family val="2"/>
          </rPr>
          <t>FRUTA</t>
        </r>
        <r>
          <rPr>
            <sz val="10"/>
            <color indexed="9"/>
            <rFont val="Arial"/>
            <family val="2"/>
          </rPr>
          <t xml:space="preserve"> procesada en la cosecha, dato en </t>
        </r>
        <r>
          <rPr>
            <b/>
            <u/>
            <sz val="10"/>
            <color indexed="51"/>
            <rFont val="Arial"/>
            <family val="2"/>
          </rPr>
          <t>FANEGAS</t>
        </r>
        <r>
          <rPr>
            <sz val="10"/>
            <color indexed="9"/>
            <rFont val="Arial"/>
            <family val="2"/>
          </rPr>
          <t>.</t>
        </r>
      </text>
    </comment>
    <comment ref="E13" authorId="0" shapeId="0" xr:uid="{C44F0D72-86B4-4C80-A535-8F2C384046BA}">
      <text>
        <r>
          <rPr>
            <sz val="10"/>
            <color indexed="9"/>
            <rFont val="Arial"/>
            <family val="2"/>
          </rPr>
          <t xml:space="preserve">Digitar el </t>
        </r>
        <r>
          <rPr>
            <b/>
            <u/>
            <sz val="10"/>
            <color indexed="14"/>
            <rFont val="Arial"/>
            <family val="2"/>
          </rPr>
          <t>RENDIMIENTO</t>
        </r>
        <r>
          <rPr>
            <sz val="10"/>
            <color indexed="9"/>
            <rFont val="Arial"/>
            <family val="2"/>
          </rPr>
          <t xml:space="preserve"> de </t>
        </r>
        <r>
          <rPr>
            <b/>
            <u/>
            <sz val="10"/>
            <color indexed="14"/>
            <rFont val="Arial"/>
            <family val="2"/>
          </rPr>
          <t>BENEFICIADO</t>
        </r>
        <r>
          <rPr>
            <sz val="10"/>
            <color indexed="9"/>
            <rFont val="Arial"/>
            <family val="2"/>
          </rPr>
          <t xml:space="preserve"> de café de la cosecha, dato en kilogramos por fanega (kg/fan).</t>
        </r>
      </text>
    </comment>
    <comment ref="E17" authorId="0" shapeId="0" xr:uid="{B4376F72-2A41-4F02-9148-3AD3CC024333}">
      <text>
        <r>
          <rPr>
            <sz val="10"/>
            <color indexed="9"/>
            <rFont val="Arial"/>
            <family val="2"/>
          </rPr>
          <t xml:space="preserve">Digitar el </t>
        </r>
        <r>
          <rPr>
            <b/>
            <u/>
            <sz val="10"/>
            <color indexed="51"/>
            <rFont val="Arial"/>
            <family val="2"/>
          </rPr>
          <t>PORCENTAJE</t>
        </r>
        <r>
          <rPr>
            <sz val="10"/>
            <color indexed="9"/>
            <rFont val="Arial"/>
            <family val="2"/>
          </rPr>
          <t xml:space="preserve"> de café vendido para </t>
        </r>
        <r>
          <rPr>
            <b/>
            <u/>
            <sz val="10"/>
            <color indexed="51"/>
            <rFont val="Arial"/>
            <family val="2"/>
          </rPr>
          <t>EXPORTACIÓN</t>
        </r>
        <r>
          <rPr>
            <sz val="10"/>
            <color indexed="9"/>
            <rFont val="Arial"/>
            <family val="2"/>
          </rPr>
          <t>.</t>
        </r>
      </text>
    </comment>
    <comment ref="E19" authorId="0" shapeId="0" xr:uid="{4A3F5E34-EC67-4C89-BEE8-D2021A572658}">
      <text>
        <r>
          <rPr>
            <sz val="10"/>
            <color indexed="9"/>
            <rFont val="Arial"/>
            <family val="2"/>
          </rPr>
          <t xml:space="preserve">Digitar un código (1 a 4) según corresponda al </t>
        </r>
        <r>
          <rPr>
            <b/>
            <u/>
            <sz val="10"/>
            <color indexed="14"/>
            <rFont val="Arial"/>
            <family val="2"/>
          </rPr>
          <t>PROVEEDOR</t>
        </r>
        <r>
          <rPr>
            <sz val="10"/>
            <color indexed="9"/>
            <rFont val="Arial"/>
            <family val="2"/>
          </rPr>
          <t xml:space="preserve"> de </t>
        </r>
        <r>
          <rPr>
            <b/>
            <u/>
            <sz val="10"/>
            <color indexed="14"/>
            <rFont val="Arial"/>
            <family val="2"/>
          </rPr>
          <t>ELECTRICIDAD</t>
        </r>
        <r>
          <rPr>
            <sz val="10"/>
            <color indexed="9"/>
            <rFont val="Arial"/>
            <family val="2"/>
          </rPr>
          <t xml:space="preserve"> de la planta del Beneficio.</t>
        </r>
      </text>
    </comment>
    <comment ref="E22" authorId="0" shapeId="0" xr:uid="{E75A9E2C-3318-43D4-A4E6-4DD8C554544E}">
      <text>
        <r>
          <rPr>
            <b/>
            <sz val="10"/>
            <color indexed="11"/>
            <rFont val="Arial"/>
            <family val="2"/>
          </rPr>
          <t>Porcentaje</t>
        </r>
        <r>
          <rPr>
            <sz val="10"/>
            <color indexed="9"/>
            <rFont val="Arial"/>
            <family val="2"/>
          </rPr>
          <t xml:space="preserve"> del Impuesto sobre Valor Agregado (IVA) pagado por el servicio eléctrico.
</t>
        </r>
        <r>
          <rPr>
            <b/>
            <sz val="10"/>
            <color indexed="14"/>
            <rFont val="Arial"/>
            <family val="2"/>
          </rPr>
          <t>¿CÓMO CALCULARLO?</t>
        </r>
        <r>
          <rPr>
            <sz val="10"/>
            <color indexed="9"/>
            <rFont val="Arial"/>
            <family val="2"/>
          </rPr>
          <t xml:space="preserve"> =&gt; de una factura eléctrica,  </t>
        </r>
        <r>
          <rPr>
            <b/>
            <u/>
            <sz val="10"/>
            <color indexed="11"/>
            <rFont val="Arial"/>
            <family val="2"/>
          </rPr>
          <t>divida</t>
        </r>
        <r>
          <rPr>
            <sz val="10"/>
            <color indexed="9"/>
            <rFont val="Arial"/>
            <family val="2"/>
          </rPr>
          <t xml:space="preserve"> el monto del </t>
        </r>
        <r>
          <rPr>
            <b/>
            <u/>
            <sz val="10"/>
            <color indexed="11"/>
            <rFont val="Arial"/>
            <family val="2"/>
          </rPr>
          <t>impuesto</t>
        </r>
        <r>
          <rPr>
            <sz val="10"/>
            <color indexed="9"/>
            <rFont val="Arial"/>
            <family val="2"/>
          </rPr>
          <t xml:space="preserve"> entre el monto acumulado de </t>
        </r>
        <r>
          <rPr>
            <b/>
            <u/>
            <sz val="10"/>
            <color indexed="14"/>
            <rFont val="Arial"/>
            <family val="2"/>
          </rPr>
          <t>energía</t>
        </r>
        <r>
          <rPr>
            <sz val="10"/>
            <color indexed="9"/>
            <rFont val="Arial"/>
            <family val="2"/>
          </rPr>
          <t xml:space="preserve"> y </t>
        </r>
        <r>
          <rPr>
            <b/>
            <u/>
            <sz val="10"/>
            <color indexed="14"/>
            <rFont val="Arial"/>
            <family val="2"/>
          </rPr>
          <t>demanda</t>
        </r>
        <r>
          <rPr>
            <sz val="10"/>
            <color indexed="9"/>
            <rFont val="Arial"/>
            <family val="2"/>
          </rPr>
          <t>.</t>
        </r>
      </text>
    </comment>
    <comment ref="E24" authorId="0" shapeId="0" xr:uid="{7F404039-AEE4-42C2-9267-84242E87F423}">
      <text>
        <r>
          <rPr>
            <sz val="10"/>
            <color indexed="9"/>
            <rFont val="Arial"/>
            <family val="2"/>
          </rPr>
          <t xml:space="preserve">Digitar un código (1 a 5) según corresponda a la </t>
        </r>
        <r>
          <rPr>
            <b/>
            <u/>
            <sz val="10"/>
            <color indexed="11"/>
            <rFont val="Arial"/>
            <family val="2"/>
          </rPr>
          <t>ZONA</t>
        </r>
        <r>
          <rPr>
            <b/>
            <sz val="10"/>
            <color indexed="9"/>
            <rFont val="Arial"/>
            <family val="2"/>
          </rPr>
          <t xml:space="preserve"> </t>
        </r>
        <r>
          <rPr>
            <b/>
            <u/>
            <sz val="10"/>
            <color indexed="11"/>
            <rFont val="Arial"/>
            <family val="2"/>
          </rPr>
          <t>GEOGRÁFICA</t>
        </r>
        <r>
          <rPr>
            <sz val="10"/>
            <color indexed="9"/>
            <rFont val="Arial"/>
            <family val="2"/>
          </rPr>
          <t xml:space="preserve"> donde se ubica la planta principal del Beneficio.</t>
        </r>
      </text>
    </comment>
    <comment ref="E26" authorId="0" shapeId="0" xr:uid="{E980A175-DBBE-4470-8EA4-0AB5725D84C7}">
      <text>
        <r>
          <rPr>
            <sz val="10"/>
            <color indexed="9"/>
            <rFont val="Arial"/>
            <family val="2"/>
          </rPr>
          <t xml:space="preserve">Digitar la </t>
        </r>
        <r>
          <rPr>
            <b/>
            <u/>
            <sz val="10"/>
            <color indexed="14"/>
            <rFont val="Arial"/>
            <family val="2"/>
          </rPr>
          <t>DISTANCIA</t>
        </r>
        <r>
          <rPr>
            <sz val="10"/>
            <color indexed="9"/>
            <rFont val="Arial"/>
            <family val="2"/>
          </rPr>
          <t xml:space="preserve"> aproximada entre la </t>
        </r>
        <r>
          <rPr>
            <b/>
            <u/>
            <sz val="10"/>
            <color indexed="14"/>
            <rFont val="Arial"/>
            <family val="2"/>
          </rPr>
          <t>PLANTA</t>
        </r>
        <r>
          <rPr>
            <sz val="10"/>
            <color indexed="9"/>
            <rFont val="Arial"/>
            <family val="2"/>
          </rPr>
          <t xml:space="preserve"> del </t>
        </r>
        <r>
          <rPr>
            <b/>
            <u/>
            <sz val="10"/>
            <color indexed="14"/>
            <rFont val="Arial"/>
            <family val="2"/>
          </rPr>
          <t>BENEFICIO</t>
        </r>
        <r>
          <rPr>
            <sz val="10"/>
            <color indexed="9"/>
            <rFont val="Arial"/>
            <family val="2"/>
          </rPr>
          <t xml:space="preserve"> y el centro de  </t>
        </r>
        <r>
          <rPr>
            <b/>
            <u/>
            <sz val="10"/>
            <color indexed="14"/>
            <rFont val="Arial"/>
            <family val="2"/>
          </rPr>
          <t>SAN</t>
        </r>
        <r>
          <rPr>
            <sz val="10"/>
            <color indexed="9"/>
            <rFont val="Arial"/>
            <family val="2"/>
          </rPr>
          <t xml:space="preserve">  </t>
        </r>
        <r>
          <rPr>
            <b/>
            <u/>
            <sz val="10"/>
            <color indexed="14"/>
            <rFont val="Arial"/>
            <family val="2"/>
          </rPr>
          <t>JOSÉ</t>
        </r>
        <r>
          <rPr>
            <sz val="10"/>
            <color indexed="9"/>
            <rFont val="Arial"/>
            <family val="2"/>
          </rPr>
          <t>.  Es una distancia en kilómetros (km), representada por un número entero o decimal.</t>
        </r>
      </text>
    </comment>
    <comment ref="E30" authorId="0" shapeId="0" xr:uid="{9992F847-6CAA-495B-BAA0-3A952BCDE60D}">
      <text>
        <r>
          <rPr>
            <b/>
            <sz val="10"/>
            <color indexed="11"/>
            <rFont val="Arial"/>
            <family val="2"/>
          </rPr>
          <t xml:space="preserve">Porcentaje </t>
        </r>
        <r>
          <rPr>
            <sz val="10"/>
            <color indexed="9"/>
            <rFont val="Arial"/>
            <family val="2"/>
          </rPr>
          <t xml:space="preserve">de </t>
        </r>
        <r>
          <rPr>
            <b/>
            <sz val="10"/>
            <color indexed="11"/>
            <rFont val="Arial"/>
            <family val="2"/>
          </rPr>
          <t>LEY</t>
        </r>
        <r>
          <rPr>
            <sz val="10"/>
            <color indexed="9"/>
            <rFont val="Arial"/>
            <family val="2"/>
          </rPr>
          <t xml:space="preserve"> sobre el  salario pagado a:
</t>
        </r>
        <r>
          <rPr>
            <b/>
            <sz val="10"/>
            <color indexed="9"/>
            <rFont val="Arial"/>
            <family val="2"/>
          </rPr>
          <t xml:space="preserve">- La CCSS: 14.67%,
- Instituciones Autónomas: 7.25%.
- Operadoras de Pensiones: 4.75%,
- Aguinaldo (reserva): 8.33%
- Cesantía (reserva): 5.33%
- Seguro Riesgos Profesionales: 4.61%
</t>
        </r>
        <r>
          <rPr>
            <b/>
            <sz val="10"/>
            <color indexed="14"/>
            <rFont val="Arial"/>
            <family val="2"/>
          </rPr>
          <t>DATOS REALES DEL BENEFICIO:</t>
        </r>
        <r>
          <rPr>
            <sz val="10"/>
            <color indexed="9"/>
            <rFont val="Arial"/>
            <family val="2"/>
          </rPr>
          <t xml:space="preserve">  el porcentaje se calcula </t>
        </r>
        <r>
          <rPr>
            <b/>
            <u/>
            <sz val="10"/>
            <color indexed="14"/>
            <rFont val="Arial"/>
            <family val="2"/>
          </rPr>
          <t>dividiendo</t>
        </r>
        <r>
          <rPr>
            <sz val="10"/>
            <color indexed="9"/>
            <rFont val="Arial"/>
            <family val="2"/>
          </rPr>
          <t xml:space="preserve"> los pagos anuales en </t>
        </r>
        <r>
          <rPr>
            <b/>
            <u/>
            <sz val="10"/>
            <color indexed="14"/>
            <rFont val="Arial"/>
            <family val="2"/>
          </rPr>
          <t>cargas patronales</t>
        </r>
        <r>
          <rPr>
            <sz val="10"/>
            <color indexed="9"/>
            <rFont val="Arial"/>
            <family val="2"/>
          </rPr>
          <t xml:space="preserve"> entre los </t>
        </r>
        <r>
          <rPr>
            <b/>
            <u/>
            <sz val="10"/>
            <color indexed="14"/>
            <rFont val="Arial"/>
            <family val="2"/>
          </rPr>
          <t>salarios</t>
        </r>
        <r>
          <rPr>
            <sz val="10"/>
            <color indexed="9"/>
            <rFont val="Arial"/>
            <family val="2"/>
          </rPr>
          <t xml:space="preserve"> pagados.</t>
        </r>
      </text>
    </comment>
    <comment ref="E34" authorId="0" shapeId="0" xr:uid="{EF905439-DAC9-4846-A36D-ACC1DD7EF8DA}">
      <text>
        <r>
          <rPr>
            <sz val="10"/>
            <color indexed="9"/>
            <rFont val="Arial"/>
            <family val="2"/>
          </rPr>
          <t xml:space="preserve">Digitar el </t>
        </r>
        <r>
          <rPr>
            <b/>
            <u/>
            <sz val="10"/>
            <color indexed="9"/>
            <rFont val="Arial"/>
            <family val="2"/>
          </rPr>
          <t>valor</t>
        </r>
        <r>
          <rPr>
            <sz val="10"/>
            <color indexed="9"/>
            <rFont val="Arial"/>
            <family val="2"/>
          </rPr>
          <t xml:space="preserve"> </t>
        </r>
        <r>
          <rPr>
            <b/>
            <u/>
            <sz val="10"/>
            <color indexed="9"/>
            <rFont val="Arial"/>
            <family val="2"/>
          </rPr>
          <t>promedio</t>
        </r>
        <r>
          <rPr>
            <sz val="10"/>
            <color indexed="9"/>
            <rFont val="Arial"/>
            <family val="2"/>
          </rPr>
          <t xml:space="preserve"> </t>
        </r>
        <r>
          <rPr>
            <b/>
            <u/>
            <sz val="10"/>
            <color indexed="14"/>
            <rFont val="Arial"/>
            <family val="2"/>
          </rPr>
          <t>ASEGURADO</t>
        </r>
        <r>
          <rPr>
            <sz val="10"/>
            <color indexed="9"/>
            <rFont val="Arial"/>
            <family val="2"/>
          </rPr>
          <t xml:space="preserve"> por la </t>
        </r>
        <r>
          <rPr>
            <b/>
            <u/>
            <sz val="10"/>
            <color indexed="14"/>
            <rFont val="Arial"/>
            <family val="2"/>
          </rPr>
          <t>MERCADERÍA</t>
        </r>
        <r>
          <rPr>
            <sz val="10"/>
            <color indexed="9"/>
            <rFont val="Arial"/>
            <family val="2"/>
          </rPr>
          <t xml:space="preserve"> de </t>
        </r>
        <r>
          <rPr>
            <b/>
            <u/>
            <sz val="10"/>
            <color indexed="14"/>
            <rFont val="Arial"/>
            <family val="2"/>
          </rPr>
          <t>CAFÉ</t>
        </r>
        <r>
          <rPr>
            <sz val="10"/>
            <color indexed="9"/>
            <rFont val="Arial"/>
            <family val="2"/>
          </rPr>
          <t xml:space="preserve"> durante el año, en colones por fanega (CRC/fan).
Digitar un 0 (cero) si </t>
        </r>
        <r>
          <rPr>
            <b/>
            <u/>
            <sz val="10"/>
            <color indexed="11"/>
            <rFont val="Arial"/>
            <family val="2"/>
          </rPr>
          <t>NO TIENE</t>
        </r>
        <r>
          <rPr>
            <sz val="10"/>
            <color indexed="9"/>
            <rFont val="Arial"/>
            <family val="2"/>
          </rPr>
          <t xml:space="preserve"> esta póliza, o sino asegura la mercadería de café.</t>
        </r>
      </text>
    </comment>
    <comment ref="E38" authorId="0" shapeId="0" xr:uid="{7346EC87-4E29-4114-B9F5-BBF558D1F5B4}">
      <text>
        <r>
          <rPr>
            <sz val="10"/>
            <color indexed="9"/>
            <rFont val="Arial"/>
            <family val="2"/>
          </rPr>
          <t xml:space="preserve">Digitar el </t>
        </r>
        <r>
          <rPr>
            <b/>
            <u/>
            <sz val="10"/>
            <color indexed="9"/>
            <rFont val="Arial"/>
            <family val="2"/>
          </rPr>
          <t>valor</t>
        </r>
        <r>
          <rPr>
            <sz val="10"/>
            <color indexed="9"/>
            <rFont val="Arial"/>
            <family val="2"/>
          </rPr>
          <t xml:space="preserve"> </t>
        </r>
        <r>
          <rPr>
            <b/>
            <u/>
            <sz val="10"/>
            <color indexed="9"/>
            <rFont val="Arial"/>
            <family val="2"/>
          </rPr>
          <t>promedio</t>
        </r>
        <r>
          <rPr>
            <sz val="10"/>
            <color indexed="9"/>
            <rFont val="Arial"/>
            <family val="2"/>
          </rPr>
          <t xml:space="preserve"> </t>
        </r>
        <r>
          <rPr>
            <b/>
            <u/>
            <sz val="10"/>
            <color indexed="14"/>
            <rFont val="Arial"/>
            <family val="2"/>
          </rPr>
          <t>ASEGURADO</t>
        </r>
        <r>
          <rPr>
            <sz val="10"/>
            <color indexed="9"/>
            <rFont val="Arial"/>
            <family val="2"/>
          </rPr>
          <t xml:space="preserve"> por </t>
        </r>
        <r>
          <rPr>
            <b/>
            <u/>
            <sz val="10"/>
            <color indexed="14"/>
            <rFont val="Arial"/>
            <family val="2"/>
          </rPr>
          <t>TRANSPORTE</t>
        </r>
        <r>
          <rPr>
            <sz val="10"/>
            <color indexed="9"/>
            <rFont val="Arial"/>
            <family val="2"/>
          </rPr>
          <t xml:space="preserve"> de </t>
        </r>
        <r>
          <rPr>
            <b/>
            <u/>
            <sz val="10"/>
            <color indexed="14"/>
            <rFont val="Arial"/>
            <family val="2"/>
          </rPr>
          <t>CAFÉ</t>
        </r>
        <r>
          <rPr>
            <sz val="10"/>
            <color indexed="9"/>
            <rFont val="Arial"/>
            <family val="2"/>
          </rPr>
          <t xml:space="preserve"> durante el año, en colones por fanega (CRC/fan).
Digitar un 0 (cero) si </t>
        </r>
        <r>
          <rPr>
            <b/>
            <u/>
            <sz val="10"/>
            <color indexed="11"/>
            <rFont val="Arial"/>
            <family val="2"/>
          </rPr>
          <t>NO TIENE</t>
        </r>
        <r>
          <rPr>
            <sz val="10"/>
            <color indexed="9"/>
            <rFont val="Arial"/>
            <family val="2"/>
          </rPr>
          <t xml:space="preserve"> esta póliza.</t>
        </r>
      </text>
    </comment>
    <comment ref="E42" authorId="0" shapeId="0" xr:uid="{F7B374E0-F569-445C-BC6C-6137660DB08B}">
      <text>
        <r>
          <rPr>
            <sz val="10"/>
            <color indexed="9"/>
            <rFont val="Arial"/>
            <family val="2"/>
          </rPr>
          <t xml:space="preserve">Digitar un código (1 a 4) según corresponda al </t>
        </r>
        <r>
          <rPr>
            <b/>
            <u/>
            <sz val="10"/>
            <color indexed="51"/>
            <rFont val="Arial"/>
            <family val="2"/>
          </rPr>
          <t>Sistema</t>
        </r>
        <r>
          <rPr>
            <sz val="10"/>
            <color indexed="9"/>
            <rFont val="Arial"/>
            <family val="2"/>
          </rPr>
          <t xml:space="preserve"> </t>
        </r>
        <r>
          <rPr>
            <b/>
            <u/>
            <sz val="10"/>
            <color indexed="51"/>
            <rFont val="Arial"/>
            <family val="2"/>
          </rPr>
          <t>Secundario</t>
        </r>
        <r>
          <rPr>
            <sz val="10"/>
            <color indexed="9"/>
            <rFont val="Arial"/>
            <family val="2"/>
          </rPr>
          <t xml:space="preserve"> de </t>
        </r>
        <r>
          <rPr>
            <b/>
            <u/>
            <sz val="10"/>
            <color indexed="51"/>
            <rFont val="Arial"/>
            <family val="2"/>
          </rPr>
          <t>Tratamiento</t>
        </r>
        <r>
          <rPr>
            <sz val="10"/>
            <color indexed="9"/>
            <rFont val="Arial"/>
            <family val="2"/>
          </rPr>
          <t xml:space="preserve"> de </t>
        </r>
        <r>
          <rPr>
            <b/>
            <u/>
            <sz val="10"/>
            <color indexed="51"/>
            <rFont val="Arial"/>
            <family val="2"/>
          </rPr>
          <t>Aguas</t>
        </r>
        <r>
          <rPr>
            <sz val="10"/>
            <color indexed="9"/>
            <rFont val="Arial"/>
            <family val="2"/>
          </rPr>
          <t xml:space="preserve"> </t>
        </r>
        <r>
          <rPr>
            <b/>
            <u/>
            <sz val="10"/>
            <color indexed="51"/>
            <rFont val="Arial"/>
            <family val="2"/>
          </rPr>
          <t>Residuales</t>
        </r>
        <r>
          <rPr>
            <sz val="10"/>
            <color indexed="9"/>
            <rFont val="Arial"/>
            <family val="2"/>
          </rPr>
          <t xml:space="preserve"> que disponga la planta del Beneficio.</t>
        </r>
      </text>
    </comment>
    <comment ref="E46" authorId="0" shapeId="0" xr:uid="{71D5F378-8875-47B9-8494-BC53E736762E}">
      <text>
        <r>
          <rPr>
            <sz val="10"/>
            <color indexed="9"/>
            <rFont val="Arial"/>
            <family val="2"/>
          </rPr>
          <t xml:space="preserve">Digitar la </t>
        </r>
        <r>
          <rPr>
            <b/>
            <u/>
            <sz val="10"/>
            <color indexed="14"/>
            <rFont val="Arial"/>
            <family val="2"/>
          </rPr>
          <t>DISTANCIA</t>
        </r>
        <r>
          <rPr>
            <sz val="10"/>
            <color indexed="9"/>
            <rFont val="Arial"/>
            <family val="2"/>
          </rPr>
          <t xml:space="preserve"> aproximada de </t>
        </r>
        <r>
          <rPr>
            <b/>
            <u/>
            <sz val="10"/>
            <color indexed="14"/>
            <rFont val="Arial"/>
            <family val="2"/>
          </rPr>
          <t>RECORRIDO</t>
        </r>
        <r>
          <rPr>
            <sz val="10"/>
            <color indexed="9"/>
            <rFont val="Arial"/>
            <family val="2"/>
          </rPr>
          <t xml:space="preserve"> entre la </t>
        </r>
        <r>
          <rPr>
            <b/>
            <u/>
            <sz val="10"/>
            <color indexed="14"/>
            <rFont val="Arial"/>
            <family val="2"/>
          </rPr>
          <t>PLANTA</t>
        </r>
        <r>
          <rPr>
            <sz val="10"/>
            <color indexed="9"/>
            <rFont val="Arial"/>
            <family val="2"/>
          </rPr>
          <t xml:space="preserve"> del </t>
        </r>
        <r>
          <rPr>
            <b/>
            <u/>
            <sz val="10"/>
            <color indexed="14"/>
            <rFont val="Arial"/>
            <family val="2"/>
          </rPr>
          <t>BENEFICIO</t>
        </r>
        <r>
          <rPr>
            <sz val="10"/>
            <color indexed="9"/>
            <rFont val="Arial"/>
            <family val="2"/>
          </rPr>
          <t xml:space="preserve"> y el </t>
        </r>
        <r>
          <rPr>
            <b/>
            <u/>
            <sz val="10"/>
            <color indexed="14"/>
            <rFont val="Arial"/>
            <family val="2"/>
          </rPr>
          <t>BROCERO</t>
        </r>
        <r>
          <rPr>
            <sz val="10"/>
            <color indexed="9"/>
            <rFont val="Arial"/>
            <family val="2"/>
          </rPr>
          <t xml:space="preserve"> (destino final de la broza).   Es una distancia en kilómetros (km), representada por un número entero o decimal.</t>
        </r>
      </text>
    </comment>
  </commentList>
</comments>
</file>

<file path=xl/sharedStrings.xml><?xml version="1.0" encoding="utf-8"?>
<sst xmlns="http://schemas.openxmlformats.org/spreadsheetml/2006/main" count="748" uniqueCount="524">
  <si>
    <t>ESTRUCTURA DE COSTOS DE BENEFICIADO DE CAFÉ ACEPTADOS POR LEY</t>
  </si>
  <si>
    <t>Coeficiente Técnico</t>
  </si>
  <si>
    <t>Unidad</t>
  </si>
  <si>
    <t>Costo Unitario</t>
  </si>
  <si>
    <t>Costo Total</t>
  </si>
  <si>
    <t>Rubros de Costo</t>
  </si>
  <si>
    <t>unid./46 kg</t>
  </si>
  <si>
    <t>Técnica</t>
  </si>
  <si>
    <t>Costo</t>
  </si>
  <si>
    <t>Part.</t>
  </si>
  <si>
    <t>Peones y Operarios</t>
  </si>
  <si>
    <t>hh/46 kg</t>
  </si>
  <si>
    <t>Beneficiador y Asistente</t>
  </si>
  <si>
    <t>-</t>
  </si>
  <si>
    <t>Cuotas patronales</t>
  </si>
  <si>
    <t>%</t>
  </si>
  <si>
    <t>Energéticos</t>
  </si>
  <si>
    <t>Energía</t>
  </si>
  <si>
    <t>kWh/46 kg</t>
  </si>
  <si>
    <t>Máxima Demanda</t>
  </si>
  <si>
    <t>kW/46 kg</t>
  </si>
  <si>
    <t>Otros Cargos</t>
  </si>
  <si>
    <t>Combustibles y lubricantes</t>
  </si>
  <si>
    <t>Hidrocarburos</t>
  </si>
  <si>
    <t>Sacos para Consumo Nacional</t>
  </si>
  <si>
    <t>Preparac.de café (Beneficios S.)</t>
  </si>
  <si>
    <t>Transporte de café beneficiado</t>
  </si>
  <si>
    <t>Impuestos municipales</t>
  </si>
  <si>
    <t>Transp.y tratamiento de broza</t>
  </si>
  <si>
    <t>Fuente: Instituto del Café de Costa Rica (ICAFE) - Unidad de Estudios Económicos y Mercado (UEEM).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</si>
  <si>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/46 kg</t>
    </r>
  </si>
  <si>
    <t>Seguros del café</t>
  </si>
  <si>
    <t>Nombre de la Firma:</t>
  </si>
  <si>
    <t>CARACTERIZACIÓN DEL BENEFICIO</t>
  </si>
  <si>
    <t>Ubicación de la Planta</t>
  </si>
  <si>
    <t>Zona</t>
  </si>
  <si>
    <t>Coef.Técn.</t>
  </si>
  <si>
    <t>Cost.Gral.</t>
  </si>
  <si>
    <t>Zonas</t>
  </si>
  <si>
    <t>Cost.Unit</t>
  </si>
  <si>
    <t>m3/46 kg</t>
  </si>
  <si>
    <t>Cost.Unit.</t>
  </si>
  <si>
    <t>Nacional</t>
  </si>
  <si>
    <t>Seg.Transp.</t>
  </si>
  <si>
    <t>&lt; 1</t>
  </si>
  <si>
    <t>Proveedor-Electricidad</t>
  </si>
  <si>
    <t>Volumen</t>
  </si>
  <si>
    <t xml:space="preserve">Distancia recorrida con la Broza desde el Beneficio hasta el Brocero </t>
  </si>
  <si>
    <t>Cuotas Patronales:</t>
  </si>
  <si>
    <t>Sistema Secundario de Tratamiento de Aguas Residuales (SSTAR)</t>
  </si>
  <si>
    <t>CRC/unid.</t>
  </si>
  <si>
    <t>CRC/46 kg</t>
  </si>
  <si>
    <t>CRC/hh</t>
  </si>
  <si>
    <t>CRC/kWh</t>
  </si>
  <si>
    <t>CRC/kW</t>
  </si>
  <si>
    <r>
      <t>CRC/m</t>
    </r>
    <r>
      <rPr>
        <vertAlign val="superscript"/>
        <sz val="10"/>
        <rFont val="Arial"/>
        <family val="2"/>
      </rPr>
      <t>3</t>
    </r>
  </si>
  <si>
    <t>CRC/kg</t>
  </si>
  <si>
    <t>CRC/m3</t>
  </si>
  <si>
    <t>C.Soc., Garant. y Seg.R.T.</t>
  </si>
  <si>
    <t>Distancia a San José (km)</t>
  </si>
  <si>
    <t>Cargas Soc.</t>
  </si>
  <si>
    <t>Constantes de Ecuación</t>
  </si>
  <si>
    <t>Acotado</t>
  </si>
  <si>
    <t>Rubro</t>
  </si>
  <si>
    <t>Elemento</t>
  </si>
  <si>
    <t>Ecuación</t>
  </si>
  <si>
    <t>a</t>
  </si>
  <si>
    <t>b</t>
  </si>
  <si>
    <t>c</t>
  </si>
  <si>
    <t>Mín</t>
  </si>
  <si>
    <t>Máx</t>
  </si>
  <si>
    <t>Peones y</t>
  </si>
  <si>
    <t>Operarios</t>
  </si>
  <si>
    <t>Estratos (volumen)</t>
  </si>
  <si>
    <t>Ver detalle abajo</t>
  </si>
  <si>
    <t>Administ.</t>
  </si>
  <si>
    <r>
      <t>CG = a (fan)</t>
    </r>
    <r>
      <rPr>
        <vertAlign val="superscript"/>
        <sz val="10"/>
        <rFont val="Courier"/>
        <family val="3"/>
      </rPr>
      <t>b</t>
    </r>
  </si>
  <si>
    <t>Porcent.</t>
  </si>
  <si>
    <t>Nacional (promedio)</t>
  </si>
  <si>
    <t>CT = a + b Ln(fan)</t>
  </si>
  <si>
    <t>CU ICE</t>
  </si>
  <si>
    <t>CU Otros</t>
  </si>
  <si>
    <t>CU C-Sant</t>
  </si>
  <si>
    <t>Demanda</t>
  </si>
  <si>
    <t>O-Cargos</t>
  </si>
  <si>
    <t>Combust.&amp; Lubrican.</t>
  </si>
  <si>
    <t>Estratos (Zonas)</t>
  </si>
  <si>
    <r>
      <t>CRC/m</t>
    </r>
    <r>
      <rPr>
        <vertAlign val="superscript"/>
        <sz val="10"/>
        <rFont val="Courier"/>
        <family val="3"/>
      </rPr>
      <t>3</t>
    </r>
  </si>
  <si>
    <t>Hidrocarb.</t>
  </si>
  <si>
    <t>Sac/46 kg</t>
  </si>
  <si>
    <t>Individual</t>
  </si>
  <si>
    <t>Análisis de Ventas</t>
  </si>
  <si>
    <t>CRC/Sac</t>
  </si>
  <si>
    <t>Consumo</t>
  </si>
  <si>
    <t>Seguros de Café</t>
  </si>
  <si>
    <t>Seguro de Incendio</t>
  </si>
  <si>
    <t>Impuestos</t>
  </si>
  <si>
    <t>Tratam.de</t>
  </si>
  <si>
    <t>Aguas Res.</t>
  </si>
  <si>
    <t>Estratos (SSTAR)</t>
  </si>
  <si>
    <t>T&amp;T Broza</t>
  </si>
  <si>
    <t>- Peones y Operarios</t>
  </si>
  <si>
    <t>(000 Fan)</t>
  </si>
  <si>
    <t>- Leña</t>
  </si>
  <si>
    <t>VC&amp;VO</t>
  </si>
  <si>
    <t>T,P&amp;Sarap.</t>
  </si>
  <si>
    <t>Zona Sur</t>
  </si>
  <si>
    <t>Guan&amp;Punt</t>
  </si>
  <si>
    <t>L.Santos</t>
  </si>
  <si>
    <t>- Seguro de Incendio</t>
  </si>
  <si>
    <t>SSTAR</t>
  </si>
  <si>
    <t>Asp.Pasto &amp; Lag.+Asp.</t>
  </si>
  <si>
    <t>Lag. Anaerobicas</t>
  </si>
  <si>
    <t>React. Anaeróbicos</t>
  </si>
  <si>
    <t>Seguro Incendio de Café*</t>
  </si>
  <si>
    <t>Valor Promedio Asegurado</t>
  </si>
  <si>
    <t>*/ Válido sólo si asegura la mercadería.</t>
  </si>
  <si>
    <t>Café Fruta (fanegas)</t>
  </si>
  <si>
    <t>&gt;= 1 ; &lt; 3</t>
  </si>
  <si>
    <t>&gt;= 3 ; &lt; 6</t>
  </si>
  <si>
    <t>&gt;= 6 ; &lt; 20</t>
  </si>
  <si>
    <t>&gt;= 20 ; &lt; 60</t>
  </si>
  <si>
    <t>&gt;= 60</t>
  </si>
  <si>
    <t>Seguro Transporte Interior*</t>
  </si>
  <si>
    <t xml:space="preserve">Ventas Exportación </t>
  </si>
  <si>
    <t>Porcentaje</t>
  </si>
  <si>
    <t>Producción y Rendimiento:</t>
  </si>
  <si>
    <t>Comercialización:</t>
  </si>
  <si>
    <t>Rend.Beneficiado (kg/fan)</t>
  </si>
  <si>
    <t xml:space="preserve"> Rend.Benef. (lb/fan)</t>
  </si>
  <si>
    <r>
      <t xml:space="preserve">*/ Valor asegurado por </t>
    </r>
    <r>
      <rPr>
        <u/>
        <sz val="8"/>
        <rFont val="Arial"/>
        <family val="2"/>
      </rPr>
      <t>mercadería</t>
    </r>
    <r>
      <rPr>
        <sz val="8"/>
        <rFont val="Arial"/>
        <family val="2"/>
      </rPr>
      <t xml:space="preserve"> (CRC/fan).</t>
    </r>
  </si>
  <si>
    <t>BASE DE DATOS PARA LA ASIGNACIÓN DE COSTOS PROMEDIO</t>
  </si>
  <si>
    <t>EL GRANO DE CAFÉ MÁS ECOLÓGICO</t>
  </si>
  <si>
    <r>
      <t>CU = a (fan)</t>
    </r>
    <r>
      <rPr>
        <vertAlign val="superscript"/>
        <sz val="10"/>
        <rFont val="Courier"/>
      </rPr>
      <t>b</t>
    </r>
  </si>
  <si>
    <r>
      <t>CU = a (fan)</t>
    </r>
    <r>
      <rPr>
        <b/>
        <vertAlign val="superscript"/>
        <sz val="10"/>
        <rFont val="Courier"/>
      </rPr>
      <t>b</t>
    </r>
  </si>
  <si>
    <t xml:space="preserve"> Café Verde "Oro" (46 kg)</t>
  </si>
  <si>
    <r>
      <t>CG = a (D-SJ)</t>
    </r>
    <r>
      <rPr>
        <vertAlign val="superscript"/>
        <sz val="10"/>
        <rFont val="Courier"/>
        <family val="3"/>
      </rPr>
      <t>b</t>
    </r>
  </si>
  <si>
    <t>- Agua Fase Húmeda</t>
  </si>
  <si>
    <t>Código de la Firma</t>
  </si>
  <si>
    <t>Salarios de Planta</t>
  </si>
  <si>
    <t>Salarios</t>
  </si>
  <si>
    <t>Energía Eléctrica</t>
  </si>
  <si>
    <t>Imp.IVA</t>
  </si>
  <si>
    <t>Leña, gas, cascarilla</t>
  </si>
  <si>
    <t>Sacos, C&amp;B de Export.</t>
  </si>
  <si>
    <t>Materiales de Empaque</t>
  </si>
  <si>
    <t>Hilo Coser</t>
  </si>
  <si>
    <t>Preparación</t>
  </si>
  <si>
    <t>de Café en</t>
  </si>
  <si>
    <t>Beneficios Secos</t>
  </si>
  <si>
    <t>Porc./46 kg</t>
  </si>
  <si>
    <t>Transporte</t>
  </si>
  <si>
    <t>Café Benef.</t>
  </si>
  <si>
    <t>Municipales</t>
  </si>
  <si>
    <t>Cánones</t>
  </si>
  <si>
    <t>Aprovech. &amp; Vertidos</t>
  </si>
  <si>
    <r>
      <t>m</t>
    </r>
    <r>
      <rPr>
        <vertAlign val="superscript"/>
        <sz val="10"/>
        <rFont val="Courier"/>
        <family val="3"/>
      </rPr>
      <t>3</t>
    </r>
    <r>
      <rPr>
        <sz val="10"/>
        <rFont val="Courier"/>
        <family val="3"/>
      </rPr>
      <t>/46 kg</t>
    </r>
  </si>
  <si>
    <t>Tratamiento Aguas Residuales</t>
  </si>
  <si>
    <t>Agua/Broza</t>
  </si>
  <si>
    <t>Impuesto: IVA</t>
  </si>
  <si>
    <t>Salarios de Planta del Beneficio</t>
  </si>
  <si>
    <t>Leña, gas y cascarilla</t>
  </si>
  <si>
    <t>Embalaje</t>
  </si>
  <si>
    <t>Sacos, C&amp;B para Exportación</t>
  </si>
  <si>
    <t>Otros Elementos de Empaque</t>
  </si>
  <si>
    <t>Cánones de agua (aprov.&amp;vert.)</t>
  </si>
  <si>
    <t>Tratamiento de aguas y broza</t>
  </si>
  <si>
    <t>Impuesto sobre Valor Agregado</t>
  </si>
  <si>
    <t>Seguro de Transporte Interno</t>
  </si>
  <si>
    <t>Tratamiento aguas de desecho</t>
  </si>
  <si>
    <r>
      <t>CT = a (fan)</t>
    </r>
    <r>
      <rPr>
        <b/>
        <vertAlign val="superscript"/>
        <sz val="10"/>
        <color theme="0"/>
        <rFont val="Courier"/>
      </rPr>
      <t>b</t>
    </r>
  </si>
  <si>
    <r>
      <t>CG = a (fan)</t>
    </r>
    <r>
      <rPr>
        <b/>
        <vertAlign val="superscript"/>
        <sz val="10"/>
        <color theme="0"/>
        <rFont val="Courier"/>
      </rPr>
      <t>b</t>
    </r>
  </si>
  <si>
    <r>
      <t>m</t>
    </r>
    <r>
      <rPr>
        <b/>
        <vertAlign val="superscript"/>
        <sz val="10"/>
        <color theme="0"/>
        <rFont val="Courier"/>
      </rPr>
      <t>3</t>
    </r>
    <r>
      <rPr>
        <b/>
        <sz val="10"/>
        <color theme="0"/>
        <rFont val="Courier"/>
      </rPr>
      <t>/46 kg</t>
    </r>
  </si>
  <si>
    <r>
      <t>CU = a (fan)</t>
    </r>
    <r>
      <rPr>
        <b/>
        <vertAlign val="superscript"/>
        <sz val="10"/>
        <color theme="0"/>
        <rFont val="Courier"/>
      </rPr>
      <t>b</t>
    </r>
  </si>
  <si>
    <r>
      <t>CRC/m</t>
    </r>
    <r>
      <rPr>
        <vertAlign val="superscript"/>
        <sz val="10"/>
        <color theme="0"/>
        <rFont val="Courier"/>
      </rPr>
      <t>3</t>
    </r>
  </si>
  <si>
    <r>
      <t>CG = a (D-Broza)</t>
    </r>
    <r>
      <rPr>
        <b/>
        <vertAlign val="superscript"/>
        <sz val="10"/>
        <color theme="0"/>
        <rFont val="Courier"/>
      </rPr>
      <t>b</t>
    </r>
  </si>
  <si>
    <t>CECA S.A.</t>
  </si>
  <si>
    <t>BETSU S.A.</t>
  </si>
  <si>
    <t>3-102-525184 S.R.L.</t>
  </si>
  <si>
    <t>Cod</t>
  </si>
  <si>
    <t>Nombre del Beneficio</t>
  </si>
  <si>
    <t>CAFETALERA AQUIARES S.A.</t>
  </si>
  <si>
    <t>BENEFICIADORA SANTA EDUVIGES S.A.</t>
  </si>
  <si>
    <t>BENEFICIADORA SANTA ELENA S.A.</t>
  </si>
  <si>
    <t>BENEFICIO BELLAVISTA S.A.</t>
  </si>
  <si>
    <t>CAFETALERA EL PATALILLO S.A.</t>
  </si>
  <si>
    <t>COOPE VICTORIA R.L.</t>
  </si>
  <si>
    <t>COOPE ALAJUELA R.L.</t>
  </si>
  <si>
    <t>COOPE DOTA R.L.</t>
  </si>
  <si>
    <t>COOPE PALMARES R.L.</t>
  </si>
  <si>
    <t>COOPE PILA ANGOSTA R.L.</t>
  </si>
  <si>
    <t>COOPE SABALITO R.L.</t>
  </si>
  <si>
    <t>COOPRO NARANJO R.L.</t>
  </si>
  <si>
    <t>HACIENDA JUAN VIÑAS S.A.</t>
  </si>
  <si>
    <t>BENEFICIO LA GUARIA S.A.</t>
  </si>
  <si>
    <t>COOPE CERRO AZUL R.L.</t>
  </si>
  <si>
    <t>COOPE ATENAS R.L.</t>
  </si>
  <si>
    <t>CAFETALERA ZAMORANA S.A.</t>
  </si>
  <si>
    <t>BENEFICIO LA CANDELILLA DE TARRAZÚ S.A.</t>
  </si>
  <si>
    <t>BENEFICIO LAS PEÑAS B.L.P. S.A.</t>
  </si>
  <si>
    <t>AGROINDUSTRIAL LAS MELLIZAS S.A.</t>
  </si>
  <si>
    <t>ZALMARI S.A.</t>
  </si>
  <si>
    <t>HACIENDA EL TRIUNFO S.A.</t>
  </si>
  <si>
    <t>BENEFICIADORA MONTERROSA S.A.</t>
  </si>
  <si>
    <t>AGAPANTO LIMITADA</t>
  </si>
  <si>
    <t>BENEFICIO LA EVA S.A.</t>
  </si>
  <si>
    <t>HACIENDA SONORA S.A.</t>
  </si>
  <si>
    <t>EDWIN DAGOBERTO TREJOS MADRIGAL</t>
  </si>
  <si>
    <t>MARESPI S.A.</t>
  </si>
  <si>
    <t>HELSAR DE ZARCERO S.A.</t>
  </si>
  <si>
    <t>LA VATESSE S.A.</t>
  </si>
  <si>
    <t>CARLOS UREÑA CECILIANO</t>
  </si>
  <si>
    <t>LA ESPERANZA NUEVA DEL SOL S.A.</t>
  </si>
  <si>
    <t>BENEFICIADORA MONTES DE ORO M&amp;M S.A.</t>
  </si>
  <si>
    <t>BENEFICIADORA EL SITIO S.R.L.</t>
  </si>
  <si>
    <t>SELVA NEGRA BENEFICIO LAS MELLIZAS LTDA.</t>
  </si>
  <si>
    <t>LATITUD NUEVE CINCUENTA Y SEIS NORTE S.A.</t>
  </si>
  <si>
    <t>COFFEA DIVERSA S.A.</t>
  </si>
  <si>
    <t>EL TRAPICHE TOUR S.A.</t>
  </si>
  <si>
    <t>MAURICIO VINDAS VARGAS</t>
  </si>
  <si>
    <t>JUAN LUIS FALLAS MATA</t>
  </si>
  <si>
    <t>LUIS ENRIQUE NAVARRO PORRAS</t>
  </si>
  <si>
    <t>VIKINGO REAL S.A.</t>
  </si>
  <si>
    <t>MICROBENEFICIO CERRO PARAGUAS MICEPA S.A.</t>
  </si>
  <si>
    <t>MINOR ESQUIVEL PICADO</t>
  </si>
  <si>
    <t>LUIS ANASTASIO CASTRO VINDAS</t>
  </si>
  <si>
    <t>MONTEBRISAS S.A.</t>
  </si>
  <si>
    <t>AGROPECUARIA LUM S.A.</t>
  </si>
  <si>
    <t>AGROINDUSTRIAL LA ESPERANZA S.A.</t>
  </si>
  <si>
    <t>DEYNER FALLAS MORA</t>
  </si>
  <si>
    <t>MARCOS ANTONIO OVIEDO ROJAS</t>
  </si>
  <si>
    <t>MARIELA MENA ABARCA</t>
  </si>
  <si>
    <t>GRUPO NATURALBA S.A.</t>
  </si>
  <si>
    <t>DANILO GERARDO VEGA CARBALLO</t>
  </si>
  <si>
    <t>RAMIRO MORA MORA</t>
  </si>
  <si>
    <t>AGROPECUARIA HELLEN S.A.</t>
  </si>
  <si>
    <t>ROJAS Y PACHECO S.R.L.</t>
  </si>
  <si>
    <t>DIEGO ALFARO VARGAS</t>
  </si>
  <si>
    <t>JUAN DIEGO HIDALGO UMAÑA</t>
  </si>
  <si>
    <t>STARBUCKS COFFEE AGRONOMY COMPANY S.R.L.</t>
  </si>
  <si>
    <t>MICROBENEFICIO &amp; TOSTADORA GAMBOA S.R.L.</t>
  </si>
  <si>
    <t>FRANCISCO VENEGAS GAMBOA</t>
  </si>
  <si>
    <t>JUAN CARLOS UMAÑA UMAÑA</t>
  </si>
  <si>
    <t>AGROINDUSTRIA D´NINCHO S.A.</t>
  </si>
  <si>
    <t>CAFÉ GOURMET DE TOBOSI S.A.</t>
  </si>
  <si>
    <t>MARVIN BARRANTES ALFARO</t>
  </si>
  <si>
    <t>CARLOS URIEL ARRIETA SOTO</t>
  </si>
  <si>
    <t>JORGE MARIO ARAYA MORA</t>
  </si>
  <si>
    <t>INVERSIONES MATA ACUÑA S.A.</t>
  </si>
  <si>
    <t>HERMES GUSTAVO MONGE VEGA</t>
  </si>
  <si>
    <t>ROLANDO ESQUIVEL BARRANTES</t>
  </si>
  <si>
    <t>GERARDO ARIAS CAMACHO</t>
  </si>
  <si>
    <t>JUAN RAFAEL MONTERO GAMBOA</t>
  </si>
  <si>
    <t>JUAN ABARCA MENA</t>
  </si>
  <si>
    <t>DIEGO MADRIZ SALAS</t>
  </si>
  <si>
    <t>GERARDO FALLAS PORRAS</t>
  </si>
  <si>
    <t>JOHN ALVARADO ABARCA</t>
  </si>
  <si>
    <t>JOINER FERNANDO ALVARADO ABARCA</t>
  </si>
  <si>
    <t>MARVIN BLANCO VALVERDE</t>
  </si>
  <si>
    <t>ERNESTO JOSÉ VALVERDE SOLÍS</t>
  </si>
  <si>
    <t>SENEL CAMPOS VALVERDE</t>
  </si>
  <si>
    <t>CAVINOL LIMITADA</t>
  </si>
  <si>
    <t>INVERSIONES AMANDU S.A.</t>
  </si>
  <si>
    <t>SANTOS LÓPEZ PARRA</t>
  </si>
  <si>
    <t>GUILLERMO ADOLFO FALLAS MATA</t>
  </si>
  <si>
    <t>DAISY ELIZONDO DIAZ</t>
  </si>
  <si>
    <t>EDUARDO RAMIREZ FALLAS</t>
  </si>
  <si>
    <t>VERNAN UREÑA VALVERDE</t>
  </si>
  <si>
    <t>CARLOS ENRIQUE NAVARRO VALVERDE</t>
  </si>
  <si>
    <t>JURG GOTTFRIED RADE EUGSTER</t>
  </si>
  <si>
    <t>AGROPECUARIA CT SOCIEDAD DE RESPONSABILIDAD LIMITADA</t>
  </si>
  <si>
    <t>TATIANA VARGAS NAVARRO</t>
  </si>
  <si>
    <t>BYRON LUIS VINDAS BRENES</t>
  </si>
  <si>
    <t>EYLEN CAMACHO ARAYA</t>
  </si>
  <si>
    <t>EDGAR FALLAS FALLAS</t>
  </si>
  <si>
    <t>PEDRO ARIAS MORA</t>
  </si>
  <si>
    <t>HERMES MENA BONILLA</t>
  </si>
  <si>
    <t>HACIENDA SAN ISIDRO LABRADOR S.A.</t>
  </si>
  <si>
    <t>NOIRE MARILCE AGUILAR FALLAS</t>
  </si>
  <si>
    <t>SANTOS TOUR CR S.A</t>
  </si>
  <si>
    <t>HEINZ FERDINAND HOFFMANN</t>
  </si>
  <si>
    <t>DAITO GIKEN COSTA RICA S.A.</t>
  </si>
  <si>
    <t>MERCURIO INDUSTRIAL S.A.</t>
  </si>
  <si>
    <t>MARÍA DELFINA PORRAS SOLÍS</t>
  </si>
  <si>
    <t>GREIVIN VENEGAS DELGADO</t>
  </si>
  <si>
    <t>CORPORACION LUMAAL DE CORRALILLO S.A.</t>
  </si>
  <si>
    <t>DANIEL ALVARADO AZOFEIFA</t>
  </si>
  <si>
    <t>STEPHANNY MARÍA FERNÁNDEZ ELIZONDO</t>
  </si>
  <si>
    <t>SONIA MARÍA SÁNCHEZ BERMÚDEZ</t>
  </si>
  <si>
    <t>YORDIN VILLEGAS ZÚÑIGA</t>
  </si>
  <si>
    <t>MARIO COTO GUILLÉN</t>
  </si>
  <si>
    <t>CAFICULTURA TERRANOVA S.A.</t>
  </si>
  <si>
    <t>MELANIA GAMBOA MORA</t>
  </si>
  <si>
    <t>DIEGO ARMANDO MADRIGAL UREÑA</t>
  </si>
  <si>
    <t>WILLIAM GERARDO MORA DURAN</t>
  </si>
  <si>
    <t>WILBERTH SALAZAR ELIZONDO</t>
  </si>
  <si>
    <t>MAUREEN LIDIETH VARGAS VALVERDE</t>
  </si>
  <si>
    <t>KENNETH JOSEPH LANDER</t>
  </si>
  <si>
    <t>ALLAN EDUARDO ROJAS CUBERO</t>
  </si>
  <si>
    <t>ALEJANDRA COTO SEGURA</t>
  </si>
  <si>
    <t>GERARDO ALEXIS ALVARADO CASTRO</t>
  </si>
  <si>
    <t>MARIELA ZAMORA BARRANTES</t>
  </si>
  <si>
    <t>VIGILANTES CMCFV SOCIEDAD ANONIMA</t>
  </si>
  <si>
    <t>GUSTAVO CORDERO CAMACHO</t>
  </si>
  <si>
    <t>CAFE ECOTRIAL SOCIEDAD ANONIMA</t>
  </si>
  <si>
    <t>SABANA DEL ROBLE SOCIEDAD ANONIMA</t>
  </si>
  <si>
    <t>RAMNA INVERSIONES S.A.</t>
  </si>
  <si>
    <t>Salarios de planta del Beneficio</t>
  </si>
  <si>
    <t>Salarios *</t>
  </si>
  <si>
    <t>Cargas sociales patronales</t>
  </si>
  <si>
    <t>Electricidad</t>
  </si>
  <si>
    <t>Energía eléctrica</t>
  </si>
  <si>
    <t>Prep.de Café</t>
  </si>
  <si>
    <t>Leña, C&amp;L</t>
  </si>
  <si>
    <t>Leña, combustibles y lubricantes</t>
  </si>
  <si>
    <t>Embalaje: materiales de empaque</t>
  </si>
  <si>
    <t>Tratam.A&amp;B</t>
  </si>
  <si>
    <t>Preparación de café en Beneficios Secos</t>
  </si>
  <si>
    <t>Trans.de Café</t>
  </si>
  <si>
    <t>Transporte de café Beneficiado</t>
  </si>
  <si>
    <t>Seguros</t>
  </si>
  <si>
    <t>Cánones de agua (aprov.&amp; vert.)</t>
  </si>
  <si>
    <t>Otros</t>
  </si>
  <si>
    <t>Costo Total de Beneficiado Aceptado</t>
  </si>
  <si>
    <t>Fuente: Instituto del Café de Costa Rica (ICAFE).</t>
  </si>
  <si>
    <t>Tratamiento aguas y broza</t>
  </si>
  <si>
    <t>Particip.</t>
  </si>
  <si>
    <t>*/ Incluidas las cargas y garantías sociales</t>
  </si>
  <si>
    <t>BENEFICIO CAFÉ LOS ANONOS S.A.</t>
  </si>
  <si>
    <t>F.J. ORLICH HERMANOS LTDA. (LA GIORGIA)</t>
  </si>
  <si>
    <t>BENF. VOLCAFÉ (C.R.) S.A. SAN DIEGO.</t>
  </si>
  <si>
    <t>BENF. VOLCAFÉ (C.R.) S.A. SANTO DOMINGO.</t>
  </si>
  <si>
    <t>CAFETALERA TIRRA S.A.</t>
  </si>
  <si>
    <t>CENTRO AGRONOMICO TROPICAL DE INVESTIGACION Y ENSEÑANZA CATIE</t>
  </si>
  <si>
    <t>COMPAÑIA AGRICOLA RIO BRUS SOCIEDAD ANONIMA</t>
  </si>
  <si>
    <t>COOPEAGRI. EL GENERAL R.L.</t>
  </si>
  <si>
    <t>COOPE SARAPIQUI R.L.</t>
  </si>
  <si>
    <t>COOPERATIVA DE CAFICULTORES DE HEREDIA LIBERTAD R.L.</t>
  </si>
  <si>
    <t>COOPE EL DOS DE TILARAN R.L.</t>
  </si>
  <si>
    <t>INSTITUTO DEL CAFÉ DE COSTA RICA</t>
  </si>
  <si>
    <t>ROLANDO ROJAS Y COMPAÑIA S.A.</t>
  </si>
  <si>
    <t>COOPE TARRAZU R.L.</t>
  </si>
  <si>
    <t>BENF. VOLCAFÉ (C.R.) S.A. EL GENERAL.</t>
  </si>
  <si>
    <t>COMPAÑIA SANTA ROSA LIMITADA</t>
  </si>
  <si>
    <t>F. J. ORLICH &amp; HNOS LTDA (SANTA MARIA)</t>
  </si>
  <si>
    <t>CAFET. DE TIERRAS TICAS S.A. RÍO TARRAZU</t>
  </si>
  <si>
    <t>CAFETALERA HERBAZU S.A.</t>
  </si>
  <si>
    <t>ASOCIACION DE MUJERES ORG.  DE BIOLLEY (ASOMOBI)</t>
  </si>
  <si>
    <t>CAFE DE ALTURA DE SAN RAMON ESPECIAL S.A</t>
  </si>
  <si>
    <t>AGROMERCADEO EL DIAMANTE, S.A.</t>
  </si>
  <si>
    <t>BIOCAFE ORO TARRAZU, S.A.</t>
  </si>
  <si>
    <t>CLOZA DE ALAJUELA, S.A.</t>
  </si>
  <si>
    <t>COSECHAS SUPERIORES, S.A.</t>
  </si>
  <si>
    <t>ASOC.DE  AGRIC. LA VIOLETA DE DESAMPAR.</t>
  </si>
  <si>
    <t>CORDILLERA DE FUEGO, S.A.</t>
  </si>
  <si>
    <t>CAFE SAN VITO, S.A.</t>
  </si>
  <si>
    <t>BENEFICIO BRUMAS DEL ZURQUI S.A.</t>
  </si>
  <si>
    <t>PROCESADORA DE CAFE SIN LIMITES S.A.</t>
  </si>
  <si>
    <t>PAGUA, S.A.</t>
  </si>
  <si>
    <t>LUVIMA DE TARRAZU S.R.L.</t>
  </si>
  <si>
    <t>JOSÉ LUIS ZUÑIGA HERNANDEZ</t>
  </si>
  <si>
    <t>BENEFICIO ECOLOGICO CERRO ALTO S.A.</t>
  </si>
  <si>
    <t>JUAN LOPEZ CARTIN</t>
  </si>
  <si>
    <t>ECO CARAIGRES AGRICOLA S.A.</t>
  </si>
  <si>
    <t>CAFET. DE TIERRAS TICAS S.A. (RIO NEGRO)</t>
  </si>
  <si>
    <t>BENEFICIO LAS MARIAS S.A.</t>
  </si>
  <si>
    <t>BENEFICIO ECOLOGICO PUENTE TARRAZU LEON CORTES SOCIEDAD ANONIMA</t>
  </si>
  <si>
    <t>ASO DE PROD DE ASER Y ACOST (ASOPROAAA)</t>
  </si>
  <si>
    <t>CAFE DE ALTURA LA ANGOSTURA S.A.</t>
  </si>
  <si>
    <t>OSCAR CHACON SOLANO</t>
  </si>
  <si>
    <t>LA LIA TARRAZU M &amp; U S.A.</t>
  </si>
  <si>
    <t>COOPEASSA R.L.</t>
  </si>
  <si>
    <t>UNION CAFETALEROS SAN ISIDRO UNDECAF S.A</t>
  </si>
  <si>
    <t>AGRICOLA EL CANTARO S.A.</t>
  </si>
  <si>
    <t>ASOCIACION DE PRODUCTORES DE CAFE SOSTENIBLE DE TARRAZU</t>
  </si>
  <si>
    <t>AGRICOLA DEL CAFETAL M.E.D.N. S.A.</t>
  </si>
  <si>
    <t>EMPRESAS SXJ S.A.</t>
  </si>
  <si>
    <t>CARLOS CALDERON ARAYA</t>
  </si>
  <si>
    <t>ASOC.PRODUCT.CONSERVACIONISTAS DE LA PIEDRA DE RIVAS DE PZ.</t>
  </si>
  <si>
    <t>DREXLER BADILLA NUÑEZ</t>
  </si>
  <si>
    <t>ASOCIACION DE PRODUCTORES LA AMISTAD (ASOPROLA)</t>
  </si>
  <si>
    <t>AGRICOLA LOS ROBLES DE NARANJO S.A.</t>
  </si>
  <si>
    <t>CAFE RIVENSE DEL CHIRRIPO S.A.</t>
  </si>
  <si>
    <t>ASOCIACION DE PRODUCTORES DEL CERRO DE TURRUBARES (APROCETU)</t>
  </si>
  <si>
    <t>SINTIS CAFE S.A.</t>
  </si>
  <si>
    <t>BAJO DEL RIO S.A.</t>
  </si>
  <si>
    <t>ASOCIACION ASOCAFE CANET DE TARRAZU</t>
  </si>
  <si>
    <t>AGROINVERSIONES ABARCRUZ J Y C   S.R.L.</t>
  </si>
  <si>
    <t>COOPEANGELES DE PARAMO R.L.</t>
  </si>
  <si>
    <t>OSCAR MENDEZ ACUÑA</t>
  </si>
  <si>
    <t>MARIO MARIN S.A.</t>
  </si>
  <si>
    <t>DOWN TO EARTH S A</t>
  </si>
  <si>
    <t>ROBERTO JIMENEZ MUÑOZ</t>
  </si>
  <si>
    <t>JUAN CARLOS JIMENEZ BONILLA</t>
  </si>
  <si>
    <t>HERNAN FALLAS LOPEZ</t>
  </si>
  <si>
    <t>AGRICOLA AGRINAVA S.A.</t>
  </si>
  <si>
    <t>UNION VARSAN DE MONTEVERDE S.A.</t>
  </si>
  <si>
    <t>JOSE ADRIAN HERRERA GARCIA</t>
  </si>
  <si>
    <t>FREDDY VILLALOBOS LOPEZ</t>
  </si>
  <si>
    <t>OMAR CALDERON MADRIGAL</t>
  </si>
  <si>
    <t>MICROBENEFICIO ECOLOGICO DON PANCHO S.A.</t>
  </si>
  <si>
    <t>OLYMAR SANTA LUCIA III S.A.</t>
  </si>
  <si>
    <t>MICRO-BENEFICIO LA PERLA DEL CAFE SRL</t>
  </si>
  <si>
    <t>MARTIN ROLANDO CECILIANO ROMERO</t>
  </si>
  <si>
    <t>APROCOME</t>
  </si>
  <si>
    <t>CENTRO AGRICOLA CANTONAL DE DESAMPARADOS</t>
  </si>
  <si>
    <t>ALLAN OVIEDO RODRIGUEZ</t>
  </si>
  <si>
    <t>BENEFICIADORA JORCO R Z S.A.</t>
  </si>
  <si>
    <t>ALEJANDRO SOLIS BLANCO</t>
  </si>
  <si>
    <t>ROGER SOLIS MORA</t>
  </si>
  <si>
    <t>FINCA FCJ VOLCAN AZUL S.A.</t>
  </si>
  <si>
    <t>ESTEBAN JOSUE ZAMORA PICADO</t>
  </si>
  <si>
    <t>CAFE MISION COSTA RICA S.A.</t>
  </si>
  <si>
    <t>BENEFICIO ECOLOGICO EL ESPINO S.A.</t>
  </si>
  <si>
    <t>TICOFERTIL S.A.</t>
  </si>
  <si>
    <t>INVERSIONES AGROPECUARIAS EL PILON CAFE NATURAL S.A.</t>
  </si>
  <si>
    <t>3-101-680111, S.A., (BENEFICIO SAN GABRIEL) NOMBRE DE FANTASIA.</t>
  </si>
  <si>
    <t>JOSE ELANDIO ALVARADO ABARCA</t>
  </si>
  <si>
    <t>HECTOR ESTEBAN SANCHEZ GODINEZ</t>
  </si>
  <si>
    <t>COOPECEDRAL R.L</t>
  </si>
  <si>
    <t>HECTOR GONZALO AZOFEIFA UREÑA</t>
  </si>
  <si>
    <t>ASOCIACION MIXTA AGROTURISTICA DE LOS LAGOS DE PITAHAYA (AMAGRO)</t>
  </si>
  <si>
    <t>HERNAN DOMINGO SOLIS RODRIGUEZ</t>
  </si>
  <si>
    <t>3-101-636879 SOCIEDAD ANONIMA (BADILLA HERRERA)</t>
  </si>
  <si>
    <t>ROGER UREÑA HIDALGO</t>
  </si>
  <si>
    <t>PABLO JAVIER JIMENEZ CECILIANO</t>
  </si>
  <si>
    <t>BENEFICIO RANA AZUL INC, SOCIEDAD ANONIMA</t>
  </si>
  <si>
    <t>MONTECOR.COM TZU, S.A.</t>
  </si>
  <si>
    <t>JUAN JOSE MORA MORA</t>
  </si>
  <si>
    <t>LUIS ARTURO BONILLA CHACON</t>
  </si>
  <si>
    <t>SUMAVA DE LOURDES, S.R.L.</t>
  </si>
  <si>
    <t>MARTIN UREÑA QUIROS</t>
  </si>
  <si>
    <t>LUIS CARLOS TORRES ZUÑIGA</t>
  </si>
  <si>
    <t>3-101-506300, S.A. (MICROBENEFICIO DE CAFE MIELES DE LA AMISTAD)</t>
  </si>
  <si>
    <t>FAMILIA ALVARADO LEIVA, S.A.</t>
  </si>
  <si>
    <t>CAFETALERA LA LIDIA, LTDA</t>
  </si>
  <si>
    <t>BENEFICIO MONTEVERDE BMV, LIMITADA</t>
  </si>
  <si>
    <t>RUBEN DARIO MONGE VARGAS</t>
  </si>
  <si>
    <t>INVERSIONES COFFEE NACE S.A</t>
  </si>
  <si>
    <t>AGROEXPORTACIONES VERDE ALTO S.A</t>
  </si>
  <si>
    <t>FADIVA TARRAZU SOCIEDAD ANONIMA</t>
  </si>
  <si>
    <t>BENEFICIADORA DE CAFE M &amp; M PURA VIDA SOCIEDAD ANONIMA</t>
  </si>
  <si>
    <t>YEMERSON ABARCA ZUÑIGA</t>
  </si>
  <si>
    <t>MONTE VISTA SOCIEDAD ANONIMA</t>
  </si>
  <si>
    <t>BENEFICIO SANTA CRUZ SOCIEDAD ANONIMA</t>
  </si>
  <si>
    <t>PABLO CESAR GRANADOS MORA</t>
  </si>
  <si>
    <t>MIGUEL ELIZONDO MESEN</t>
  </si>
  <si>
    <t>MARIO HUMBERTO MARIN ROMERO</t>
  </si>
  <si>
    <t>JOSE ENRIQUE ROMERO CHACON</t>
  </si>
  <si>
    <t>MARVIN QUIROS VALVERDE</t>
  </si>
  <si>
    <t>GRUPO INFUSIONES TECNOLOGICAS SOCIEDAD ANONIMA</t>
  </si>
  <si>
    <t>JIMENEZ Y PADILLA SOCIEDAD ANONIMA</t>
  </si>
  <si>
    <t>COFFEE DREAM SOCIEDAD ANONIMA</t>
  </si>
  <si>
    <t>CAFETALERA BRISAS DE SAN CRISTOBAL NORTE SOCIEDAD ANONIMA</t>
  </si>
  <si>
    <t>UAKUSI SOCIEDAD ANONIMA</t>
  </si>
  <si>
    <t>CAFE DON SABINO PREMIUM SOCIEDAD ANONIMA</t>
  </si>
  <si>
    <t>JAVIER SOLIS UREÑA</t>
  </si>
  <si>
    <t>URBANO ARIAS SIBAJA</t>
  </si>
  <si>
    <t>R &amp; R CAFETALERA LA TRINIDAD SOCIEDAD ANONIMA</t>
  </si>
  <si>
    <t>GENOVEVA UREÑA GUTIERREZ</t>
  </si>
  <si>
    <t>ACTIVIDADES AGRICOLAS GARIRO JGN S.A.</t>
  </si>
  <si>
    <t>BREINER AVILA BONILLA</t>
  </si>
  <si>
    <t>ANDRES OMAR QUESADA VARGAS</t>
  </si>
  <si>
    <t>OLMAN LAINEKEL ZAMORA GOMEZ</t>
  </si>
  <si>
    <t>LECANTO M Y S S.A.</t>
  </si>
  <si>
    <t>CESAR SEBASTIAN NAVARRO NUÑEZ</t>
  </si>
  <si>
    <t>CAFE SOLIS &amp; CORDERO S.A</t>
  </si>
  <si>
    <t>GILBERTO UMAÑA SOLIS</t>
  </si>
  <si>
    <t>JOSE ENRIQUE ARDON GUTIERREZ</t>
  </si>
  <si>
    <t>AGRICULTURA ORGANICA LOS ANGELES CH DU S.A.</t>
  </si>
  <si>
    <t>MICRO BENEFICIO HERMANOS RODRIGUEZ S.A.</t>
  </si>
  <si>
    <t>MAURICIO GAMBOA FERNANDEZ</t>
  </si>
  <si>
    <t>SEILYN JIMENEZ BARBOZA</t>
  </si>
  <si>
    <t>F J ORLICH &amp; HNOS LTDA. (EL PATALILLO)</t>
  </si>
  <si>
    <t>IVAN DANIEL GUTIERREZ UREÑA</t>
  </si>
  <si>
    <t>LAS MARGARITAS VEINTISEIS S.A</t>
  </si>
  <si>
    <t>BERNY MORA GOMEZ</t>
  </si>
  <si>
    <t>SERGIO ANDRES VARGAS ROJAS</t>
  </si>
  <si>
    <t>GRUPO CATIGUA DE OCCIDENTE JNC S.A</t>
  </si>
  <si>
    <t>HLC HONEY LAND COMPANY S.A.</t>
  </si>
  <si>
    <t>JEANEY PEREZ GARITA</t>
  </si>
  <si>
    <t>ASOPROCABO</t>
  </si>
  <si>
    <t>INVERSIONES GLOBALES C&amp;L SOCIEDAD ANONIMA</t>
  </si>
  <si>
    <t>JUAN OROZCO ARAYA</t>
  </si>
  <si>
    <t>EFRAIN LEONARDO MORA DURAN</t>
  </si>
  <si>
    <t>3-101-803988 SOCIEDAD ANONIMA</t>
  </si>
  <si>
    <t>F J ORLICH Y HNOS LIMITADA (LA AMISTAD)</t>
  </si>
  <si>
    <t>BENEFICIO DE CAFE HERMANOS ARIAS S.A.</t>
  </si>
  <si>
    <t>QUEBRADA HERMOSA SOCIEDAD ANONIMA</t>
  </si>
  <si>
    <t>SAN CRISTOBAL DEL LLANO S.A.</t>
  </si>
  <si>
    <t>INVERSIONES AGRICOLAS UREÑA HIDALGO S.A.</t>
  </si>
  <si>
    <t>ASOCIACION IDEAS PRODUCTIVAS FEMENINAS DE LA LEGUA DE ASERRI</t>
  </si>
  <si>
    <t>TATIANA MARIA RODRIGUEZ VILLALOBOS</t>
  </si>
  <si>
    <t>PROYECTOS EDUMART CR SA</t>
  </si>
  <si>
    <t>CULTIVO Y BENEFICIADO CAFE RUSTICUS S.A.</t>
  </si>
  <si>
    <t>MICROBENEFICIO DE CAFE ROBLE NEGRO JVU S.A.</t>
  </si>
  <si>
    <t>YOSELYN FABIOLA GAMBOA JIMENEZ</t>
  </si>
  <si>
    <t>INVERSIONES HORQUETAS DE SARAPIQUI S.A.</t>
  </si>
  <si>
    <t>RANDALL JOSUE CARRANZA VILLALTA</t>
  </si>
  <si>
    <t>ANA LIA MORA CHINCHILLA</t>
  </si>
  <si>
    <t>CAFICULTORA HACIENDA DOKA SA</t>
  </si>
  <si>
    <t>FINCA CAFETALERA ALPIZAR LTDA</t>
  </si>
  <si>
    <t>ANA LUCIA UMAÑA HERRERA</t>
  </si>
  <si>
    <t>ALVARO JIMENEZ CRUZ</t>
  </si>
  <si>
    <t>MULTISERVICIOS H S G S.A.</t>
  </si>
  <si>
    <t>FINCA DON MILTON LIMITADA</t>
  </si>
  <si>
    <t>CARLOS ARRIETA ALVARADO</t>
  </si>
  <si>
    <t>ASOCIACION VISIONEERS COSTA RICA</t>
  </si>
  <si>
    <t>COFFEE WITHOUT ARMY TWO THOUSAND TWENTY THREE SRL</t>
  </si>
  <si>
    <t>BERNARDO UREÑA MORALES</t>
  </si>
  <si>
    <t>COMERCIALIZADORA DE CAFES SELECTOS DOTA LIMITADA</t>
  </si>
  <si>
    <t>GEINER CALDERON GUTIERREZ</t>
  </si>
  <si>
    <t>VIRGILIO DE JESUS NAVARRO CORDERO</t>
  </si>
  <si>
    <t>TOP QUALITY COFFEES LIMITADA</t>
  </si>
  <si>
    <t>ARMANDO BLANCO JIMENEZ</t>
  </si>
  <si>
    <t>DIDIER RUBEN SALAZAR SEGURA</t>
  </si>
  <si>
    <t>EDWIN ANTONIO CRUZ VARGAS</t>
  </si>
  <si>
    <t>HAZEL BLANCO PORRAS</t>
  </si>
  <si>
    <t>3-102-937224 SOCIEDAD DE RESPONSABILIDAD LIMITADA</t>
  </si>
  <si>
    <t>CARLOS ADRIAN OROZCO RETANA</t>
  </si>
  <si>
    <t>AGUACATE MERCADEO SOCIEDAD ANONIMA</t>
  </si>
  <si>
    <t>CAFETALERA HERNANDEZ SANCHEZ CAFHERSA SOCIEDAD ANONIMA</t>
  </si>
  <si>
    <t>CHUMECA CAFE ESPECIALIDAD SOCIEDAD ANONIMA</t>
  </si>
  <si>
    <r>
      <t>CU = a (VA)</t>
    </r>
    <r>
      <rPr>
        <vertAlign val="superscript"/>
        <sz val="10"/>
        <rFont val="Courier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</si>
</sst>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%"/>
    <numFmt numFmtId="165" formatCode="#,##0.00000"/>
    <numFmt numFmtId="166" formatCode="#,##0.000"/>
    <numFmt numFmtId="167" formatCode="#,##0.0000"/>
    <numFmt numFmtId="168" formatCode="0.0000"/>
    <numFmt numFmtId="169" formatCode="0.000"/>
    <numFmt numFmtId="170" formatCode="0.00000"/>
    <numFmt numFmtId="171" formatCode="0.0000E+00"/>
    <numFmt numFmtId="172" formatCode="#,##0.0"/>
  </numFmts>
  <fonts count="4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7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6"/>
      <color indexed="9"/>
      <name val="Bookman Old Style"/>
      <family val="1"/>
    </font>
    <font>
      <b/>
      <sz val="12"/>
      <color indexed="60"/>
      <name val="Arial"/>
      <family val="2"/>
    </font>
    <font>
      <sz val="10"/>
      <name val="Courier"/>
      <family val="3"/>
    </font>
    <font>
      <b/>
      <sz val="10"/>
      <color theme="0"/>
      <name val="Courier"/>
      <family val="3"/>
    </font>
    <font>
      <vertAlign val="superscript"/>
      <sz val="10"/>
      <name val="Courier"/>
      <family val="3"/>
    </font>
    <font>
      <b/>
      <sz val="10"/>
      <color theme="0"/>
      <name val="Arial"/>
      <family val="2"/>
    </font>
    <font>
      <b/>
      <sz val="10"/>
      <name val="Courier"/>
      <family val="3"/>
    </font>
    <font>
      <sz val="10"/>
      <color theme="0"/>
      <name val="Courier"/>
      <family val="3"/>
    </font>
    <font>
      <b/>
      <u/>
      <sz val="10"/>
      <color indexed="51"/>
      <name val="Arial"/>
      <family val="2"/>
    </font>
    <font>
      <b/>
      <sz val="10"/>
      <color indexed="9"/>
      <name val="Arial"/>
      <family val="2"/>
    </font>
    <font>
      <b/>
      <u/>
      <sz val="10"/>
      <color indexed="14"/>
      <name val="Arial"/>
      <family val="2"/>
    </font>
    <font>
      <b/>
      <sz val="10"/>
      <color indexed="11"/>
      <name val="Arial"/>
      <family val="2"/>
    </font>
    <font>
      <b/>
      <sz val="10"/>
      <color indexed="14"/>
      <name val="Arial"/>
      <family val="2"/>
    </font>
    <font>
      <b/>
      <u/>
      <sz val="10"/>
      <color indexed="11"/>
      <name val="Arial"/>
      <family val="2"/>
    </font>
    <font>
      <sz val="11"/>
      <name val="Arial"/>
      <family val="2"/>
    </font>
    <font>
      <b/>
      <u/>
      <sz val="10"/>
      <color indexed="9"/>
      <name val="Arial"/>
      <family val="2"/>
    </font>
    <font>
      <u/>
      <sz val="8"/>
      <name val="Arial"/>
      <family val="2"/>
    </font>
    <font>
      <vertAlign val="superscript"/>
      <sz val="10"/>
      <name val="Courier"/>
    </font>
    <font>
      <b/>
      <sz val="10"/>
      <color theme="0"/>
      <name val="Courier"/>
    </font>
    <font>
      <b/>
      <sz val="10"/>
      <name val="Courier"/>
    </font>
    <font>
      <b/>
      <vertAlign val="superscript"/>
      <sz val="10"/>
      <name val="Courier"/>
    </font>
    <font>
      <b/>
      <sz val="14"/>
      <name val="Antique Olive Compact"/>
    </font>
    <font>
      <sz val="10"/>
      <name val="Courier"/>
    </font>
    <font>
      <b/>
      <sz val="10"/>
      <color rgb="FF0000CC"/>
      <name val="Courier"/>
      <family val="3"/>
    </font>
    <font>
      <b/>
      <vertAlign val="superscript"/>
      <sz val="10"/>
      <color theme="0"/>
      <name val="Courier"/>
    </font>
    <font>
      <vertAlign val="superscript"/>
      <sz val="10"/>
      <color theme="0"/>
      <name val="Courier"/>
    </font>
    <font>
      <sz val="10"/>
      <color theme="0"/>
      <name val="Courier"/>
    </font>
    <font>
      <sz val="10"/>
      <color theme="0"/>
      <name val="Arial"/>
      <family val="2"/>
    </font>
    <font>
      <sz val="5"/>
      <name val="Arial"/>
      <family val="2"/>
    </font>
    <font>
      <sz val="10"/>
      <name val="Consolas"/>
      <family val="3"/>
    </font>
    <font>
      <b/>
      <sz val="10"/>
      <color indexed="9"/>
      <name val="Consolas"/>
      <family val="3"/>
    </font>
    <font>
      <b/>
      <sz val="8"/>
      <name val="Consolas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970B8"/>
        <bgColor indexed="64"/>
      </patternFill>
    </fill>
    <fill>
      <patternFill patternType="solid">
        <fgColor rgb="FF57C2B1"/>
        <bgColor indexed="64"/>
      </patternFill>
    </fill>
    <fill>
      <patternFill patternType="solid">
        <fgColor rgb="FFBC55A0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4D4B34"/>
        <bgColor indexed="64"/>
      </patternFill>
    </fill>
    <fill>
      <patternFill patternType="solid">
        <fgColor rgb="FF34507B"/>
        <bgColor indexed="64"/>
      </patternFill>
    </fill>
    <fill>
      <patternFill patternType="solid">
        <fgColor rgb="FFEBECC4"/>
        <bgColor indexed="64"/>
      </patternFill>
    </fill>
    <fill>
      <patternFill patternType="solid">
        <fgColor rgb="FFA9A389"/>
        <bgColor indexed="64"/>
      </patternFill>
    </fill>
    <fill>
      <patternFill patternType="solid">
        <fgColor rgb="FF829385"/>
        <bgColor indexed="64"/>
      </patternFill>
    </fill>
    <fill>
      <patternFill patternType="solid">
        <fgColor rgb="FF57A35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5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9">
    <xf numFmtId="0" fontId="0" fillId="0" borderId="0" xfId="0"/>
    <xf numFmtId="4" fontId="0" fillId="0" borderId="0" xfId="0" applyNumberFormat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5" fillId="0" borderId="0" xfId="0" applyFont="1"/>
    <xf numFmtId="4" fontId="5" fillId="0" borderId="0" xfId="0" applyNumberFormat="1" applyFont="1"/>
    <xf numFmtId="164" fontId="5" fillId="0" borderId="6" xfId="1" applyNumberFormat="1" applyFont="1" applyBorder="1" applyAlignment="1" applyProtection="1">
      <alignment horizontal="center"/>
    </xf>
    <xf numFmtId="0" fontId="0" fillId="0" borderId="0" xfId="0" applyAlignment="1">
      <alignment horizontal="left" indent="1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 indent="1"/>
    </xf>
    <xf numFmtId="4" fontId="6" fillId="0" borderId="0" xfId="0" applyNumberFormat="1" applyFont="1"/>
    <xf numFmtId="4" fontId="6" fillId="0" borderId="0" xfId="0" applyNumberFormat="1" applyFont="1" applyAlignment="1">
      <alignment horizontal="center"/>
    </xf>
    <xf numFmtId="164" fontId="5" fillId="0" borderId="6" xfId="1" applyNumberFormat="1" applyFont="1" applyFill="1" applyBorder="1" applyAlignment="1" applyProtection="1">
      <alignment horizontal="center"/>
    </xf>
    <xf numFmtId="164" fontId="2" fillId="0" borderId="7" xfId="1" applyNumberFormat="1" applyBorder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center"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0" fontId="12" fillId="0" borderId="0" xfId="0" quotePrefix="1" applyFont="1" applyAlignment="1">
      <alignment horizontal="center" vertical="center"/>
    </xf>
    <xf numFmtId="164" fontId="2" fillId="0" borderId="6" xfId="1" applyNumberFormat="1" applyFill="1" applyBorder="1" applyAlignment="1" applyProtection="1">
      <alignment horizontal="center"/>
    </xf>
    <xf numFmtId="164" fontId="6" fillId="0" borderId="6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vertical="center" indent="1"/>
    </xf>
    <xf numFmtId="0" fontId="4" fillId="2" borderId="11" xfId="0" applyFont="1" applyFill="1" applyBorder="1" applyAlignment="1" applyProtection="1">
      <alignment horizontal="centerContinuous" vertical="center"/>
      <protection locked="0"/>
    </xf>
    <xf numFmtId="0" fontId="11" fillId="2" borderId="17" xfId="0" applyFont="1" applyFill="1" applyBorder="1" applyAlignment="1">
      <alignment horizontal="centerContinuous" vertical="center"/>
    </xf>
    <xf numFmtId="0" fontId="11" fillId="2" borderId="12" xfId="0" applyFont="1" applyFill="1" applyBorder="1" applyAlignment="1">
      <alignment horizontal="centerContinuous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4" fontId="4" fillId="2" borderId="4" xfId="0" applyNumberFormat="1" applyFont="1" applyFill="1" applyBorder="1" applyAlignment="1" applyProtection="1">
      <alignment horizontal="center" vertical="center"/>
      <protection locked="0"/>
    </xf>
    <xf numFmtId="10" fontId="4" fillId="2" borderId="4" xfId="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top"/>
    </xf>
    <xf numFmtId="4" fontId="5" fillId="0" borderId="0" xfId="0" applyNumberFormat="1" applyFont="1" applyAlignment="1">
      <alignment horizontal="right" indent="1"/>
    </xf>
    <xf numFmtId="4" fontId="0" fillId="0" borderId="0" xfId="0" applyNumberFormat="1" applyAlignment="1">
      <alignment horizontal="right" indent="1"/>
    </xf>
    <xf numFmtId="4" fontId="6" fillId="0" borderId="0" xfId="0" applyNumberFormat="1" applyFont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167" fontId="16" fillId="0" borderId="0" xfId="2" applyNumberFormat="1" applyFont="1" applyAlignment="1">
      <alignment horizontal="center" vertical="center"/>
    </xf>
    <xf numFmtId="0" fontId="16" fillId="0" borderId="2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167" fontId="16" fillId="0" borderId="2" xfId="2" applyNumberFormat="1" applyFont="1" applyBorder="1" applyAlignment="1">
      <alignment horizontal="center" vertical="center"/>
    </xf>
    <xf numFmtId="4" fontId="16" fillId="0" borderId="0" xfId="2" applyNumberFormat="1" applyFont="1" applyAlignment="1">
      <alignment horizontal="center" vertical="center"/>
    </xf>
    <xf numFmtId="0" fontId="20" fillId="0" borderId="0" xfId="2" applyFont="1" applyAlignment="1">
      <alignment vertical="center"/>
    </xf>
    <xf numFmtId="0" fontId="20" fillId="0" borderId="0" xfId="2" quotePrefix="1" applyFont="1" applyAlignment="1">
      <alignment vertical="center"/>
    </xf>
    <xf numFmtId="0" fontId="16" fillId="0" borderId="29" xfId="2" applyFont="1" applyBorder="1" applyAlignment="1">
      <alignment horizontal="center" vertical="center"/>
    </xf>
    <xf numFmtId="170" fontId="16" fillId="0" borderId="0" xfId="2" applyNumberFormat="1" applyFont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67" fontId="16" fillId="0" borderId="16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167" fontId="20" fillId="0" borderId="24" xfId="0" applyNumberFormat="1" applyFont="1" applyBorder="1" applyAlignment="1">
      <alignment horizontal="centerContinuous" vertical="center"/>
    </xf>
    <xf numFmtId="167" fontId="20" fillId="0" borderId="22" xfId="0" applyNumberFormat="1" applyFont="1" applyBorder="1" applyAlignment="1">
      <alignment horizontal="centerContinuous" vertical="center"/>
    </xf>
    <xf numFmtId="167" fontId="20" fillId="0" borderId="26" xfId="0" applyNumberFormat="1" applyFont="1" applyBorder="1" applyAlignment="1">
      <alignment horizontal="centerContinuous" vertical="center"/>
    </xf>
    <xf numFmtId="167" fontId="20" fillId="0" borderId="10" xfId="0" applyNumberFormat="1" applyFont="1" applyBorder="1" applyAlignment="1">
      <alignment horizontal="centerContinuous" vertical="center"/>
    </xf>
    <xf numFmtId="167" fontId="20" fillId="0" borderId="2" xfId="0" applyNumberFormat="1" applyFont="1" applyBorder="1" applyAlignment="1">
      <alignment horizontal="centerContinuous" vertical="center"/>
    </xf>
    <xf numFmtId="167" fontId="20" fillId="0" borderId="16" xfId="0" applyNumberFormat="1" applyFont="1" applyBorder="1" applyAlignment="1">
      <alignment horizontal="centerContinuous" vertical="center"/>
    </xf>
    <xf numFmtId="0" fontId="16" fillId="0" borderId="13" xfId="0" applyFont="1" applyBorder="1" applyAlignment="1">
      <alignment horizontal="center" vertical="center"/>
    </xf>
    <xf numFmtId="167" fontId="16" fillId="0" borderId="10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4" fontId="16" fillId="0" borderId="32" xfId="0" applyNumberFormat="1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167" fontId="16" fillId="0" borderId="11" xfId="0" applyNumberFormat="1" applyFont="1" applyBorder="1" applyAlignment="1">
      <alignment horizontal="center" vertical="center"/>
    </xf>
    <xf numFmtId="167" fontId="16" fillId="0" borderId="9" xfId="0" applyNumberFormat="1" applyFont="1" applyBorder="1" applyAlignment="1">
      <alignment horizontal="center" vertical="center"/>
    </xf>
    <xf numFmtId="167" fontId="16" fillId="0" borderId="12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 vertical="center"/>
    </xf>
    <xf numFmtId="4" fontId="16" fillId="0" borderId="30" xfId="0" applyNumberFormat="1" applyFont="1" applyBorder="1" applyAlignment="1">
      <alignment horizontal="center" vertical="center"/>
    </xf>
    <xf numFmtId="167" fontId="16" fillId="0" borderId="44" xfId="0" applyNumberFormat="1" applyFont="1" applyBorder="1" applyAlignment="1">
      <alignment horizontal="center" vertical="center"/>
    </xf>
    <xf numFmtId="167" fontId="16" fillId="0" borderId="45" xfId="0" applyNumberFormat="1" applyFont="1" applyBorder="1" applyAlignment="1">
      <alignment horizontal="center" vertical="center"/>
    </xf>
    <xf numFmtId="37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4" xfId="1" applyNumberFormat="1" applyFont="1" applyFill="1" applyBorder="1" applyAlignment="1" applyProtection="1">
      <alignment horizontal="center" vertical="center"/>
      <protection locked="0"/>
    </xf>
    <xf numFmtId="17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" fontId="9" fillId="3" borderId="4" xfId="0" applyNumberFormat="1" applyFont="1" applyFill="1" applyBorder="1" applyAlignment="1">
      <alignment horizontal="center" vertical="center"/>
    </xf>
    <xf numFmtId="172" fontId="9" fillId="3" borderId="4" xfId="0" applyNumberFormat="1" applyFont="1" applyFill="1" applyBorder="1" applyAlignment="1">
      <alignment horizontal="center" vertical="center"/>
    </xf>
    <xf numFmtId="10" fontId="20" fillId="0" borderId="11" xfId="1" applyNumberFormat="1" applyFont="1" applyBorder="1" applyAlignment="1">
      <alignment horizontal="center" vertical="center"/>
    </xf>
    <xf numFmtId="167" fontId="20" fillId="0" borderId="13" xfId="0" applyNumberFormat="1" applyFont="1" applyBorder="1" applyAlignment="1">
      <alignment horizontal="centerContinuous" vertical="center"/>
    </xf>
    <xf numFmtId="167" fontId="20" fillId="0" borderId="29" xfId="0" applyNumberFormat="1" applyFont="1" applyBorder="1" applyAlignment="1">
      <alignment horizontal="centerContinuous" vertical="center"/>
    </xf>
    <xf numFmtId="167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4" fontId="16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vertical="center"/>
    </xf>
    <xf numFmtId="4" fontId="16" fillId="0" borderId="13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4" borderId="0" xfId="2" applyFont="1" applyFill="1" applyAlignment="1">
      <alignment vertical="center"/>
    </xf>
    <xf numFmtId="2" fontId="16" fillId="0" borderId="0" xfId="2" applyNumberFormat="1" applyFont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167" fontId="20" fillId="0" borderId="0" xfId="0" applyNumberFormat="1" applyFont="1" applyAlignment="1">
      <alignment horizontal="centerContinuous" vertical="center"/>
    </xf>
    <xf numFmtId="0" fontId="33" fillId="0" borderId="0" xfId="0" applyFont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35" fillId="3" borderId="50" xfId="0" applyFont="1" applyFill="1" applyBorder="1" applyAlignment="1">
      <alignment horizontal="centerContinuous" vertical="center"/>
    </xf>
    <xf numFmtId="0" fontId="35" fillId="3" borderId="51" xfId="0" applyFont="1" applyFill="1" applyBorder="1" applyAlignment="1">
      <alignment horizontal="centerContinuous" vertical="center"/>
    </xf>
    <xf numFmtId="0" fontId="35" fillId="3" borderId="52" xfId="0" applyFont="1" applyFill="1" applyBorder="1" applyAlignment="1">
      <alignment horizontal="centerContinuous" vertical="center"/>
    </xf>
    <xf numFmtId="0" fontId="16" fillId="3" borderId="35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167" fontId="16" fillId="3" borderId="38" xfId="0" applyNumberFormat="1" applyFont="1" applyFill="1" applyBorder="1" applyAlignment="1">
      <alignment horizontal="center" vertical="center"/>
    </xf>
    <xf numFmtId="168" fontId="16" fillId="3" borderId="36" xfId="0" applyNumberFormat="1" applyFont="1" applyFill="1" applyBorder="1" applyAlignment="1">
      <alignment horizontal="center" vertical="center"/>
    </xf>
    <xf numFmtId="171" fontId="16" fillId="3" borderId="37" xfId="0" applyNumberFormat="1" applyFont="1" applyFill="1" applyBorder="1" applyAlignment="1">
      <alignment horizontal="center" vertical="center"/>
    </xf>
    <xf numFmtId="2" fontId="16" fillId="3" borderId="38" xfId="0" applyNumberFormat="1" applyFont="1" applyFill="1" applyBorder="1" applyAlignment="1">
      <alignment horizontal="center" vertical="center"/>
    </xf>
    <xf numFmtId="2" fontId="16" fillId="3" borderId="39" xfId="0" applyNumberFormat="1" applyFont="1" applyFill="1" applyBorder="1" applyAlignment="1">
      <alignment horizontal="center" vertical="center"/>
    </xf>
    <xf numFmtId="4" fontId="16" fillId="3" borderId="38" xfId="0" applyNumberFormat="1" applyFont="1" applyFill="1" applyBorder="1" applyAlignment="1">
      <alignment horizontal="center" vertical="center"/>
    </xf>
    <xf numFmtId="4" fontId="16" fillId="3" borderId="39" xfId="0" applyNumberFormat="1" applyFont="1" applyFill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167" fontId="16" fillId="0" borderId="42" xfId="0" applyNumberFormat="1" applyFont="1" applyBorder="1" applyAlignment="1">
      <alignment horizontal="center" vertical="center"/>
    </xf>
    <xf numFmtId="168" fontId="16" fillId="0" borderId="1" xfId="0" applyNumberFormat="1" applyFont="1" applyBorder="1" applyAlignment="1">
      <alignment horizontal="center" vertical="center"/>
    </xf>
    <xf numFmtId="171" fontId="16" fillId="0" borderId="41" xfId="0" applyNumberFormat="1" applyFont="1" applyBorder="1" applyAlignment="1">
      <alignment horizontal="center" vertical="center"/>
    </xf>
    <xf numFmtId="4" fontId="16" fillId="0" borderId="42" xfId="0" applyNumberFormat="1" applyFont="1" applyBorder="1" applyAlignment="1">
      <alignment horizontal="center" vertical="center"/>
    </xf>
    <xf numFmtId="4" fontId="36" fillId="0" borderId="43" xfId="0" applyNumberFormat="1" applyFont="1" applyBorder="1" applyAlignment="1">
      <alignment horizontal="center" vertical="center"/>
    </xf>
    <xf numFmtId="0" fontId="32" fillId="4" borderId="0" xfId="2" applyFont="1" applyFill="1" applyAlignment="1">
      <alignment horizontal="center" vertical="center"/>
    </xf>
    <xf numFmtId="170" fontId="17" fillId="5" borderId="0" xfId="2" applyNumberFormat="1" applyFont="1" applyFill="1" applyAlignment="1">
      <alignment horizontal="center" vertical="center"/>
    </xf>
    <xf numFmtId="4" fontId="32" fillId="7" borderId="0" xfId="2" applyNumberFormat="1" applyFont="1" applyFill="1" applyAlignment="1">
      <alignment horizontal="center" vertical="center"/>
    </xf>
    <xf numFmtId="4" fontId="32" fillId="6" borderId="0" xfId="2" applyNumberFormat="1" applyFont="1" applyFill="1" applyAlignment="1">
      <alignment horizontal="center" vertical="center"/>
    </xf>
    <xf numFmtId="4" fontId="17" fillId="5" borderId="0" xfId="2" applyNumberFormat="1" applyFont="1" applyFill="1" applyAlignment="1">
      <alignment horizontal="center" vertical="center"/>
    </xf>
    <xf numFmtId="167" fontId="17" fillId="5" borderId="0" xfId="2" applyNumberFormat="1" applyFont="1" applyFill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166" fontId="36" fillId="0" borderId="0" xfId="0" applyNumberFormat="1" applyFont="1" applyAlignment="1">
      <alignment horizontal="center" vertical="center"/>
    </xf>
    <xf numFmtId="4" fontId="16" fillId="0" borderId="14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169" fontId="32" fillId="5" borderId="0" xfId="2" applyNumberFormat="1" applyFont="1" applyFill="1" applyAlignment="1">
      <alignment horizontal="center" vertical="center"/>
    </xf>
    <xf numFmtId="168" fontId="32" fillId="5" borderId="0" xfId="2" applyNumberFormat="1" applyFont="1" applyFill="1" applyAlignment="1">
      <alignment horizontal="center" vertical="center"/>
    </xf>
    <xf numFmtId="4" fontId="17" fillId="7" borderId="0" xfId="2" applyNumberFormat="1" applyFont="1" applyFill="1" applyAlignment="1">
      <alignment horizontal="center" vertical="center"/>
    </xf>
    <xf numFmtId="0" fontId="36" fillId="3" borderId="31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32" xfId="0" applyFont="1" applyFill="1" applyBorder="1" applyAlignment="1">
      <alignment horizontal="center" vertical="center"/>
    </xf>
    <xf numFmtId="167" fontId="36" fillId="0" borderId="3" xfId="0" applyNumberFormat="1" applyFont="1" applyBorder="1" applyAlignment="1">
      <alignment horizontal="center" vertical="center"/>
    </xf>
    <xf numFmtId="4" fontId="36" fillId="0" borderId="32" xfId="0" applyNumberFormat="1" applyFont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4" fontId="36" fillId="3" borderId="10" xfId="0" applyNumberFormat="1" applyFont="1" applyFill="1" applyBorder="1" applyAlignment="1">
      <alignment horizontal="center" vertical="center"/>
    </xf>
    <xf numFmtId="167" fontId="16" fillId="3" borderId="3" xfId="0" applyNumberFormat="1" applyFont="1" applyFill="1" applyBorder="1" applyAlignment="1">
      <alignment horizontal="center" vertical="center"/>
    </xf>
    <xf numFmtId="167" fontId="16" fillId="3" borderId="16" xfId="0" applyNumberFormat="1" applyFont="1" applyFill="1" applyBorder="1" applyAlignment="1">
      <alignment horizontal="center" vertical="center"/>
    </xf>
    <xf numFmtId="4" fontId="16" fillId="3" borderId="10" xfId="0" applyNumberFormat="1" applyFont="1" applyFill="1" applyBorder="1" applyAlignment="1">
      <alignment horizontal="center" vertical="center"/>
    </xf>
    <xf numFmtId="4" fontId="16" fillId="3" borderId="32" xfId="0" applyNumberFormat="1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10" fontId="36" fillId="3" borderId="24" xfId="1" applyNumberFormat="1" applyFont="1" applyFill="1" applyBorder="1" applyAlignment="1">
      <alignment horizontal="center" vertical="center"/>
    </xf>
    <xf numFmtId="167" fontId="16" fillId="3" borderId="25" xfId="0" applyNumberFormat="1" applyFont="1" applyFill="1" applyBorder="1" applyAlignment="1">
      <alignment horizontal="center" vertical="center"/>
    </xf>
    <xf numFmtId="167" fontId="16" fillId="3" borderId="26" xfId="0" applyNumberFormat="1" applyFont="1" applyFill="1" applyBorder="1" applyAlignment="1">
      <alignment horizontal="center" vertical="center"/>
    </xf>
    <xf numFmtId="4" fontId="16" fillId="3" borderId="24" xfId="0" applyNumberFormat="1" applyFont="1" applyFill="1" applyBorder="1" applyAlignment="1">
      <alignment horizontal="center" vertical="center"/>
    </xf>
    <xf numFmtId="4" fontId="16" fillId="3" borderId="23" xfId="0" applyNumberFormat="1" applyFont="1" applyFill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167" fontId="36" fillId="0" borderId="9" xfId="0" applyNumberFormat="1" applyFont="1" applyBorder="1" applyAlignment="1">
      <alignment horizontal="center" vertical="center"/>
    </xf>
    <xf numFmtId="167" fontId="37" fillId="0" borderId="12" xfId="0" applyNumberFormat="1" applyFont="1" applyBorder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7" fontId="32" fillId="5" borderId="0" xfId="2" applyNumberFormat="1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quotePrefix="1" applyFont="1" applyAlignment="1">
      <alignment vertical="center"/>
    </xf>
    <xf numFmtId="0" fontId="16" fillId="0" borderId="29" xfId="0" applyFont="1" applyBorder="1" applyAlignment="1">
      <alignment horizontal="center" vertical="center"/>
    </xf>
    <xf numFmtId="166" fontId="32" fillId="5" borderId="0" xfId="2" applyNumberFormat="1" applyFont="1" applyFill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4" fontId="36" fillId="0" borderId="0" xfId="0" applyNumberFormat="1" applyFont="1" applyAlignment="1">
      <alignment horizontal="center" vertical="center"/>
    </xf>
    <xf numFmtId="4" fontId="36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0" fontId="36" fillId="0" borderId="0" xfId="1" applyNumberFormat="1" applyFont="1" applyAlignment="1">
      <alignment horizontal="center" vertical="center"/>
    </xf>
    <xf numFmtId="10" fontId="36" fillId="0" borderId="2" xfId="1" applyNumberFormat="1" applyFont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167" fontId="16" fillId="3" borderId="11" xfId="0" applyNumberFormat="1" applyFont="1" applyFill="1" applyBorder="1" applyAlignment="1">
      <alignment horizontal="center" vertical="center"/>
    </xf>
    <xf numFmtId="167" fontId="36" fillId="3" borderId="9" xfId="0" applyNumberFormat="1" applyFont="1" applyFill="1" applyBorder="1" applyAlignment="1">
      <alignment horizontal="center" vertical="center"/>
    </xf>
    <xf numFmtId="4" fontId="16" fillId="3" borderId="12" xfId="0" applyNumberFormat="1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4" fontId="36" fillId="3" borderId="30" xfId="0" applyNumberFormat="1" applyFont="1" applyFill="1" applyBorder="1" applyAlignment="1">
      <alignment horizontal="center" vertical="center"/>
    </xf>
    <xf numFmtId="10" fontId="36" fillId="3" borderId="24" xfId="1" applyNumberFormat="1" applyFont="1" applyFill="1" applyBorder="1" applyAlignment="1">
      <alignment horizontal="centerContinuous" vertical="center"/>
    </xf>
    <xf numFmtId="167" fontId="16" fillId="3" borderId="22" xfId="0" applyNumberFormat="1" applyFont="1" applyFill="1" applyBorder="1" applyAlignment="1">
      <alignment horizontal="centerContinuous" vertical="center"/>
    </xf>
    <xf numFmtId="167" fontId="16" fillId="3" borderId="26" xfId="0" applyNumberFormat="1" applyFont="1" applyFill="1" applyBorder="1" applyAlignment="1">
      <alignment horizontal="centerContinuous" vertical="center"/>
    </xf>
    <xf numFmtId="0" fontId="17" fillId="9" borderId="4" xfId="0" applyFont="1" applyFill="1" applyBorder="1" applyAlignment="1">
      <alignment horizontal="center" vertical="center"/>
    </xf>
    <xf numFmtId="167" fontId="36" fillId="0" borderId="8" xfId="0" applyNumberFormat="1" applyFont="1" applyBorder="1" applyAlignment="1">
      <alignment horizontal="center" vertical="center"/>
    </xf>
    <xf numFmtId="164" fontId="2" fillId="0" borderId="6" xfId="1" applyNumberFormat="1" applyFill="1" applyBorder="1" applyAlignment="1" applyProtection="1">
      <alignment horizontal="center" vertical="center"/>
    </xf>
    <xf numFmtId="3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indent="1"/>
    </xf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indent="2"/>
    </xf>
    <xf numFmtId="4" fontId="0" fillId="0" borderId="0" xfId="0" applyNumberFormat="1" applyAlignment="1">
      <alignment horizontal="right" vertical="center" indent="1"/>
    </xf>
    <xf numFmtId="166" fontId="0" fillId="0" borderId="0" xfId="0" applyNumberForma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14" fillId="10" borderId="0" xfId="0" applyFont="1" applyFill="1" applyAlignment="1">
      <alignment horizontal="centerContinuous" vertical="center"/>
    </xf>
    <xf numFmtId="0" fontId="13" fillId="10" borderId="0" xfId="0" applyFont="1" applyFill="1" applyAlignment="1">
      <alignment horizontal="centerContinuous" vertical="center"/>
    </xf>
    <xf numFmtId="0" fontId="0" fillId="10" borderId="0" xfId="0" applyFill="1"/>
    <xf numFmtId="0" fontId="0" fillId="11" borderId="0" xfId="0" applyFill="1"/>
    <xf numFmtId="0" fontId="11" fillId="13" borderId="0" xfId="0" applyFont="1" applyFill="1" applyAlignment="1">
      <alignment vertical="center"/>
    </xf>
    <xf numFmtId="0" fontId="11" fillId="13" borderId="0" xfId="0" applyFont="1" applyFill="1" applyAlignment="1">
      <alignment horizontal="left" vertical="center" indent="1"/>
    </xf>
    <xf numFmtId="167" fontId="17" fillId="10" borderId="11" xfId="2" applyNumberFormat="1" applyFont="1" applyFill="1" applyBorder="1" applyAlignment="1">
      <alignment horizontal="centerContinuous" vertical="center"/>
    </xf>
    <xf numFmtId="167" fontId="17" fillId="10" borderId="17" xfId="2" applyNumberFormat="1" applyFont="1" applyFill="1" applyBorder="1" applyAlignment="1">
      <alignment horizontal="centerContinuous" vertical="center"/>
    </xf>
    <xf numFmtId="167" fontId="17" fillId="10" borderId="12" xfId="2" applyNumberFormat="1" applyFont="1" applyFill="1" applyBorder="1" applyAlignment="1">
      <alignment horizontal="centerContinuous" vertical="center"/>
    </xf>
    <xf numFmtId="0" fontId="17" fillId="10" borderId="11" xfId="2" applyFont="1" applyFill="1" applyBorder="1" applyAlignment="1">
      <alignment horizontal="centerContinuous" vertical="center"/>
    </xf>
    <xf numFmtId="0" fontId="17" fillId="10" borderId="12" xfId="2" applyFont="1" applyFill="1" applyBorder="1" applyAlignment="1">
      <alignment horizontal="centerContinuous" vertical="center"/>
    </xf>
    <xf numFmtId="0" fontId="32" fillId="11" borderId="18" xfId="0" applyFont="1" applyFill="1" applyBorder="1" applyAlignment="1">
      <alignment horizontal="center" vertical="center"/>
    </xf>
    <xf numFmtId="0" fontId="32" fillId="11" borderId="6" xfId="0" applyFont="1" applyFill="1" applyBorder="1" applyAlignment="1">
      <alignment horizontal="center" vertical="center"/>
    </xf>
    <xf numFmtId="0" fontId="32" fillId="11" borderId="7" xfId="0" applyFont="1" applyFill="1" applyBorder="1" applyAlignment="1">
      <alignment horizontal="center" vertical="center"/>
    </xf>
    <xf numFmtId="0" fontId="32" fillId="14" borderId="4" xfId="0" applyFont="1" applyFill="1" applyBorder="1" applyAlignment="1">
      <alignment horizontal="center" vertical="center"/>
    </xf>
    <xf numFmtId="0" fontId="32" fillId="11" borderId="19" xfId="0" applyFont="1" applyFill="1" applyBorder="1" applyAlignment="1">
      <alignment horizontal="center" vertical="center"/>
    </xf>
    <xf numFmtId="0" fontId="32" fillId="11" borderId="17" xfId="0" applyFont="1" applyFill="1" applyBorder="1" applyAlignment="1">
      <alignment horizontal="center" vertical="center"/>
    </xf>
    <xf numFmtId="0" fontId="32" fillId="11" borderId="30" xfId="0" applyFont="1" applyFill="1" applyBorder="1" applyAlignment="1">
      <alignment horizontal="center" vertical="center"/>
    </xf>
    <xf numFmtId="167" fontId="32" fillId="11" borderId="11" xfId="0" applyNumberFormat="1" applyFont="1" applyFill="1" applyBorder="1" applyAlignment="1">
      <alignment horizontal="center" vertical="center"/>
    </xf>
    <xf numFmtId="167" fontId="32" fillId="11" borderId="9" xfId="0" applyNumberFormat="1" applyFont="1" applyFill="1" applyBorder="1" applyAlignment="1">
      <alignment horizontal="center" vertical="center"/>
    </xf>
    <xf numFmtId="167" fontId="32" fillId="11" borderId="12" xfId="0" applyNumberFormat="1" applyFont="1" applyFill="1" applyBorder="1" applyAlignment="1">
      <alignment horizontal="center" vertical="center"/>
    </xf>
    <xf numFmtId="4" fontId="32" fillId="11" borderId="11" xfId="0" applyNumberFormat="1" applyFont="1" applyFill="1" applyBorder="1" applyAlignment="1">
      <alignment horizontal="center" vertical="center"/>
    </xf>
    <xf numFmtId="4" fontId="32" fillId="11" borderId="30" xfId="0" applyNumberFormat="1" applyFont="1" applyFill="1" applyBorder="1" applyAlignment="1">
      <alignment horizontal="center" vertical="center"/>
    </xf>
    <xf numFmtId="0" fontId="32" fillId="15" borderId="33" xfId="0" applyFont="1" applyFill="1" applyBorder="1" applyAlignment="1">
      <alignment horizontal="center" vertical="center"/>
    </xf>
    <xf numFmtId="0" fontId="32" fillId="15" borderId="9" xfId="0" applyFont="1" applyFill="1" applyBorder="1" applyAlignment="1">
      <alignment horizontal="center" vertical="center"/>
    </xf>
    <xf numFmtId="0" fontId="32" fillId="15" borderId="12" xfId="0" applyFont="1" applyFill="1" applyBorder="1" applyAlignment="1">
      <alignment horizontal="center" vertical="center"/>
    </xf>
    <xf numFmtId="167" fontId="32" fillId="15" borderId="11" xfId="0" applyNumberFormat="1" applyFont="1" applyFill="1" applyBorder="1" applyAlignment="1">
      <alignment horizontal="center" vertical="center"/>
    </xf>
    <xf numFmtId="167" fontId="32" fillId="15" borderId="9" xfId="0" applyNumberFormat="1" applyFont="1" applyFill="1" applyBorder="1" applyAlignment="1">
      <alignment horizontal="center" vertical="center"/>
    </xf>
    <xf numFmtId="167" fontId="32" fillId="15" borderId="12" xfId="0" applyNumberFormat="1" applyFont="1" applyFill="1" applyBorder="1" applyAlignment="1">
      <alignment horizontal="center" vertical="center"/>
    </xf>
    <xf numFmtId="4" fontId="32" fillId="15" borderId="11" xfId="0" applyNumberFormat="1" applyFont="1" applyFill="1" applyBorder="1" applyAlignment="1">
      <alignment horizontal="center" vertical="center"/>
    </xf>
    <xf numFmtId="4" fontId="32" fillId="15" borderId="30" xfId="0" applyNumberFormat="1" applyFont="1" applyFill="1" applyBorder="1" applyAlignment="1">
      <alignment horizontal="center" vertical="center"/>
    </xf>
    <xf numFmtId="0" fontId="33" fillId="12" borderId="34" xfId="0" applyFont="1" applyFill="1" applyBorder="1" applyAlignment="1">
      <alignment horizontal="center" vertical="center"/>
    </xf>
    <xf numFmtId="0" fontId="33" fillId="12" borderId="5" xfId="0" applyFont="1" applyFill="1" applyBorder="1" applyAlignment="1">
      <alignment horizontal="center" vertical="center"/>
    </xf>
    <xf numFmtId="0" fontId="33" fillId="12" borderId="29" xfId="0" applyFont="1" applyFill="1" applyBorder="1" applyAlignment="1">
      <alignment horizontal="center" vertical="center"/>
    </xf>
    <xf numFmtId="0" fontId="33" fillId="12" borderId="20" xfId="0" applyFont="1" applyFill="1" applyBorder="1" applyAlignment="1">
      <alignment horizontal="center" vertical="center"/>
    </xf>
    <xf numFmtId="0" fontId="33" fillId="12" borderId="3" xfId="0" applyFont="1" applyFill="1" applyBorder="1" applyAlignment="1">
      <alignment horizontal="center" vertical="center"/>
    </xf>
    <xf numFmtId="0" fontId="33" fillId="12" borderId="16" xfId="0" applyFont="1" applyFill="1" applyBorder="1" applyAlignment="1">
      <alignment horizontal="center" vertical="center"/>
    </xf>
    <xf numFmtId="167" fontId="33" fillId="12" borderId="13" xfId="0" applyNumberFormat="1" applyFont="1" applyFill="1" applyBorder="1" applyAlignment="1">
      <alignment horizontal="center" vertical="center"/>
    </xf>
    <xf numFmtId="167" fontId="33" fillId="12" borderId="5" xfId="0" applyNumberFormat="1" applyFont="1" applyFill="1" applyBorder="1" applyAlignment="1">
      <alignment horizontal="center" vertical="center"/>
    </xf>
    <xf numFmtId="167" fontId="33" fillId="12" borderId="29" xfId="0" applyNumberFormat="1" applyFont="1" applyFill="1" applyBorder="1" applyAlignment="1">
      <alignment horizontal="center" vertical="center"/>
    </xf>
    <xf numFmtId="167" fontId="33" fillId="12" borderId="10" xfId="0" applyNumberFormat="1" applyFont="1" applyFill="1" applyBorder="1" applyAlignment="1">
      <alignment horizontal="center" vertical="center"/>
    </xf>
    <xf numFmtId="167" fontId="33" fillId="12" borderId="3" xfId="0" applyNumberFormat="1" applyFont="1" applyFill="1" applyBorder="1" applyAlignment="1">
      <alignment horizontal="center" vertical="center"/>
    </xf>
    <xf numFmtId="167" fontId="33" fillId="12" borderId="16" xfId="0" applyNumberFormat="1" applyFont="1" applyFill="1" applyBorder="1" applyAlignment="1">
      <alignment horizontal="center" vertical="center"/>
    </xf>
    <xf numFmtId="2" fontId="33" fillId="12" borderId="13" xfId="0" applyNumberFormat="1" applyFont="1" applyFill="1" applyBorder="1" applyAlignment="1">
      <alignment horizontal="center" vertical="center"/>
    </xf>
    <xf numFmtId="2" fontId="33" fillId="12" borderId="28" xfId="0" applyNumberFormat="1" applyFont="1" applyFill="1" applyBorder="1" applyAlignment="1">
      <alignment horizontal="center" vertical="center"/>
    </xf>
    <xf numFmtId="2" fontId="33" fillId="12" borderId="10" xfId="0" applyNumberFormat="1" applyFont="1" applyFill="1" applyBorder="1" applyAlignment="1">
      <alignment horizontal="center" vertical="center"/>
    </xf>
    <xf numFmtId="2" fontId="33" fillId="12" borderId="32" xfId="0" applyNumberFormat="1" applyFont="1" applyFill="1" applyBorder="1" applyAlignment="1">
      <alignment horizontal="center" vertical="center"/>
    </xf>
    <xf numFmtId="0" fontId="32" fillId="11" borderId="33" xfId="0" applyFont="1" applyFill="1" applyBorder="1" applyAlignment="1">
      <alignment horizontal="center" vertical="center"/>
    </xf>
    <xf numFmtId="0" fontId="32" fillId="11" borderId="9" xfId="0" applyFont="1" applyFill="1" applyBorder="1" applyAlignment="1">
      <alignment horizontal="center" vertical="center"/>
    </xf>
    <xf numFmtId="0" fontId="32" fillId="11" borderId="12" xfId="0" applyFont="1" applyFill="1" applyBorder="1" applyAlignment="1">
      <alignment horizontal="center" vertical="center"/>
    </xf>
    <xf numFmtId="168" fontId="32" fillId="11" borderId="11" xfId="0" applyNumberFormat="1" applyFont="1" applyFill="1" applyBorder="1" applyAlignment="1">
      <alignment horizontal="center" vertical="center"/>
    </xf>
    <xf numFmtId="168" fontId="32" fillId="11" borderId="30" xfId="0" applyNumberFormat="1" applyFont="1" applyFill="1" applyBorder="1" applyAlignment="1">
      <alignment horizontal="center" vertical="center"/>
    </xf>
    <xf numFmtId="4" fontId="33" fillId="12" borderId="13" xfId="0" applyNumberFormat="1" applyFont="1" applyFill="1" applyBorder="1" applyAlignment="1">
      <alignment horizontal="center" vertical="center"/>
    </xf>
    <xf numFmtId="4" fontId="33" fillId="12" borderId="28" xfId="0" applyNumberFormat="1" applyFont="1" applyFill="1" applyBorder="1" applyAlignment="1">
      <alignment horizontal="center" vertical="center"/>
    </xf>
    <xf numFmtId="4" fontId="33" fillId="12" borderId="10" xfId="0" applyNumberFormat="1" applyFont="1" applyFill="1" applyBorder="1" applyAlignment="1">
      <alignment horizontal="center" vertical="center"/>
    </xf>
    <xf numFmtId="4" fontId="33" fillId="12" borderId="32" xfId="0" applyNumberFormat="1" applyFont="1" applyFill="1" applyBorder="1" applyAlignment="1">
      <alignment horizontal="center" vertical="center"/>
    </xf>
    <xf numFmtId="0" fontId="32" fillId="15" borderId="4" xfId="0" applyFont="1" applyFill="1" applyBorder="1" applyAlignment="1">
      <alignment horizontal="center" vertical="center"/>
    </xf>
    <xf numFmtId="0" fontId="32" fillId="11" borderId="4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0" fontId="32" fillId="11" borderId="22" xfId="0" applyFont="1" applyFill="1" applyBorder="1" applyAlignment="1">
      <alignment horizontal="center" vertical="center"/>
    </xf>
    <xf numFmtId="0" fontId="32" fillId="11" borderId="23" xfId="0" applyFont="1" applyFill="1" applyBorder="1" applyAlignment="1">
      <alignment horizontal="center" vertical="center"/>
    </xf>
    <xf numFmtId="167" fontId="32" fillId="11" borderId="24" xfId="0" applyNumberFormat="1" applyFont="1" applyFill="1" applyBorder="1" applyAlignment="1">
      <alignment horizontal="center" vertical="center"/>
    </xf>
    <xf numFmtId="167" fontId="32" fillId="11" borderId="25" xfId="0" applyNumberFormat="1" applyFont="1" applyFill="1" applyBorder="1" applyAlignment="1">
      <alignment horizontal="center" vertical="center"/>
    </xf>
    <xf numFmtId="167" fontId="32" fillId="11" borderId="26" xfId="0" applyNumberFormat="1" applyFont="1" applyFill="1" applyBorder="1" applyAlignment="1">
      <alignment horizontal="center" vertical="center"/>
    </xf>
    <xf numFmtId="0" fontId="32" fillId="11" borderId="24" xfId="0" applyFont="1" applyFill="1" applyBorder="1" applyAlignment="1">
      <alignment horizontal="center" vertical="center"/>
    </xf>
    <xf numFmtId="170" fontId="32" fillId="11" borderId="23" xfId="0" applyNumberFormat="1" applyFont="1" applyFill="1" applyBorder="1" applyAlignment="1">
      <alignment horizontal="center" vertical="center"/>
    </xf>
    <xf numFmtId="10" fontId="17" fillId="15" borderId="11" xfId="1" applyNumberFormat="1" applyFont="1" applyFill="1" applyBorder="1" applyAlignment="1">
      <alignment horizontal="center" vertical="center"/>
    </xf>
    <xf numFmtId="167" fontId="21" fillId="15" borderId="9" xfId="0" applyNumberFormat="1" applyFont="1" applyFill="1" applyBorder="1" applyAlignment="1">
      <alignment horizontal="center" vertical="center"/>
    </xf>
    <xf numFmtId="168" fontId="21" fillId="15" borderId="12" xfId="0" applyNumberFormat="1" applyFont="1" applyFill="1" applyBorder="1" applyAlignment="1">
      <alignment horizontal="center" vertical="center"/>
    </xf>
    <xf numFmtId="167" fontId="32" fillId="11" borderId="24" xfId="0" applyNumberFormat="1" applyFont="1" applyFill="1" applyBorder="1" applyAlignment="1">
      <alignment horizontal="centerContinuous" vertical="center"/>
    </xf>
    <xf numFmtId="167" fontId="32" fillId="11" borderId="22" xfId="0" applyNumberFormat="1" applyFont="1" applyFill="1" applyBorder="1" applyAlignment="1">
      <alignment horizontal="centerContinuous" vertical="center"/>
    </xf>
    <xf numFmtId="167" fontId="32" fillId="11" borderId="26" xfId="0" applyNumberFormat="1" applyFont="1" applyFill="1" applyBorder="1" applyAlignment="1">
      <alignment horizontal="centerContinuous" vertical="center"/>
    </xf>
    <xf numFmtId="0" fontId="32" fillId="15" borderId="17" xfId="0" applyFont="1" applyFill="1" applyBorder="1" applyAlignment="1">
      <alignment horizontal="center" vertical="center"/>
    </xf>
    <xf numFmtId="171" fontId="32" fillId="15" borderId="12" xfId="0" applyNumberFormat="1" applyFont="1" applyFill="1" applyBorder="1" applyAlignment="1">
      <alignment horizontal="center" vertical="center"/>
    </xf>
    <xf numFmtId="0" fontId="32" fillId="15" borderId="11" xfId="0" applyFont="1" applyFill="1" applyBorder="1" applyAlignment="1">
      <alignment horizontal="center" vertical="center"/>
    </xf>
    <xf numFmtId="2" fontId="32" fillId="15" borderId="30" xfId="0" applyNumberFormat="1" applyFont="1" applyFill="1" applyBorder="1" applyAlignment="1">
      <alignment horizontal="center" vertical="center"/>
    </xf>
    <xf numFmtId="4" fontId="32" fillId="11" borderId="24" xfId="0" applyNumberFormat="1" applyFont="1" applyFill="1" applyBorder="1" applyAlignment="1">
      <alignment horizontal="center" vertical="center"/>
    </xf>
    <xf numFmtId="4" fontId="32" fillId="11" borderId="23" xfId="0" applyNumberFormat="1" applyFont="1" applyFill="1" applyBorder="1" applyAlignment="1">
      <alignment horizontal="center" vertical="center"/>
    </xf>
    <xf numFmtId="0" fontId="32" fillId="15" borderId="18" xfId="0" applyFont="1" applyFill="1" applyBorder="1" applyAlignment="1">
      <alignment horizontal="center" vertical="center"/>
    </xf>
    <xf numFmtId="0" fontId="32" fillId="15" borderId="7" xfId="0" applyFont="1" applyFill="1" applyBorder="1" applyAlignment="1">
      <alignment horizontal="center" vertical="center"/>
    </xf>
    <xf numFmtId="0" fontId="32" fillId="15" borderId="21" xfId="0" applyFont="1" applyFill="1" applyBorder="1" applyAlignment="1">
      <alignment horizontal="center" vertical="center"/>
    </xf>
    <xf numFmtId="0" fontId="32" fillId="15" borderId="22" xfId="0" applyFont="1" applyFill="1" applyBorder="1" applyAlignment="1">
      <alignment horizontal="center" vertical="center"/>
    </xf>
    <xf numFmtId="0" fontId="32" fillId="15" borderId="23" xfId="0" applyFont="1" applyFill="1" applyBorder="1" applyAlignment="1">
      <alignment horizontal="center" vertical="center"/>
    </xf>
    <xf numFmtId="167" fontId="32" fillId="15" borderId="24" xfId="0" applyNumberFormat="1" applyFont="1" applyFill="1" applyBorder="1" applyAlignment="1">
      <alignment horizontal="centerContinuous" vertical="center"/>
    </xf>
    <xf numFmtId="167" fontId="32" fillId="15" borderId="22" xfId="0" applyNumberFormat="1" applyFont="1" applyFill="1" applyBorder="1" applyAlignment="1">
      <alignment horizontal="centerContinuous" vertical="center"/>
    </xf>
    <xf numFmtId="167" fontId="32" fillId="15" borderId="26" xfId="0" applyNumberFormat="1" applyFont="1" applyFill="1" applyBorder="1" applyAlignment="1">
      <alignment horizontal="centerContinuous" vertical="center"/>
    </xf>
    <xf numFmtId="4" fontId="32" fillId="15" borderId="24" xfId="0" applyNumberFormat="1" applyFont="1" applyFill="1" applyBorder="1" applyAlignment="1">
      <alignment horizontal="center" vertical="center"/>
    </xf>
    <xf numFmtId="4" fontId="32" fillId="15" borderId="23" xfId="0" applyNumberFormat="1" applyFont="1" applyFill="1" applyBorder="1" applyAlignment="1">
      <alignment horizontal="center" vertical="center"/>
    </xf>
    <xf numFmtId="0" fontId="32" fillId="15" borderId="31" xfId="0" applyFont="1" applyFill="1" applyBorder="1" applyAlignment="1">
      <alignment horizontal="center" vertical="center"/>
    </xf>
    <xf numFmtId="0" fontId="32" fillId="15" borderId="2" xfId="0" applyFont="1" applyFill="1" applyBorder="1" applyAlignment="1">
      <alignment horizontal="center" vertical="center"/>
    </xf>
    <xf numFmtId="0" fontId="32" fillId="15" borderId="32" xfId="0" applyFont="1" applyFill="1" applyBorder="1" applyAlignment="1">
      <alignment horizontal="center" vertical="center"/>
    </xf>
    <xf numFmtId="167" fontId="32" fillId="15" borderId="44" xfId="0" applyNumberFormat="1" applyFont="1" applyFill="1" applyBorder="1" applyAlignment="1">
      <alignment horizontal="center" vertical="center"/>
    </xf>
    <xf numFmtId="167" fontId="32" fillId="15" borderId="45" xfId="0" applyNumberFormat="1" applyFont="1" applyFill="1" applyBorder="1" applyAlignment="1">
      <alignment horizontal="center" vertical="center"/>
    </xf>
    <xf numFmtId="167" fontId="32" fillId="15" borderId="46" xfId="0" applyNumberFormat="1" applyFont="1" applyFill="1" applyBorder="1" applyAlignment="1">
      <alignment horizontal="center" vertical="center"/>
    </xf>
    <xf numFmtId="4" fontId="32" fillId="15" borderId="10" xfId="0" applyNumberFormat="1" applyFont="1" applyFill="1" applyBorder="1" applyAlignment="1">
      <alignment horizontal="center" vertical="center"/>
    </xf>
    <xf numFmtId="4" fontId="32" fillId="15" borderId="32" xfId="0" applyNumberFormat="1" applyFont="1" applyFill="1" applyBorder="1" applyAlignment="1">
      <alignment horizontal="center" vertical="center"/>
    </xf>
    <xf numFmtId="0" fontId="32" fillId="15" borderId="47" xfId="0" applyFont="1" applyFill="1" applyBorder="1" applyAlignment="1">
      <alignment horizontal="center" vertical="center"/>
    </xf>
    <xf numFmtId="167" fontId="17" fillId="15" borderId="24" xfId="0" applyNumberFormat="1" applyFont="1" applyFill="1" applyBorder="1" applyAlignment="1">
      <alignment horizontal="centerContinuous" vertical="center"/>
    </xf>
    <xf numFmtId="167" fontId="17" fillId="15" borderId="22" xfId="0" applyNumberFormat="1" applyFont="1" applyFill="1" applyBorder="1" applyAlignment="1">
      <alignment horizontal="centerContinuous" vertical="center"/>
    </xf>
    <xf numFmtId="167" fontId="17" fillId="15" borderId="26" xfId="0" applyNumberFormat="1" applyFont="1" applyFill="1" applyBorder="1" applyAlignment="1">
      <alignment horizontal="centerContinuous" vertical="center"/>
    </xf>
    <xf numFmtId="0" fontId="40" fillId="0" borderId="0" xfId="0" applyFont="1" applyAlignment="1">
      <alignment horizontal="center" vertical="center"/>
    </xf>
    <xf numFmtId="171" fontId="32" fillId="11" borderId="12" xfId="0" applyNumberFormat="1" applyFont="1" applyFill="1" applyBorder="1" applyAlignment="1">
      <alignment horizontal="center" vertical="center"/>
    </xf>
    <xf numFmtId="0" fontId="32" fillId="15" borderId="48" xfId="0" applyFont="1" applyFill="1" applyBorder="1" applyAlignment="1">
      <alignment horizontal="center" vertical="center"/>
    </xf>
    <xf numFmtId="0" fontId="32" fillId="11" borderId="49" xfId="0" applyFont="1" applyFill="1" applyBorder="1" applyAlignment="1">
      <alignment horizontal="center" vertical="center"/>
    </xf>
    <xf numFmtId="0" fontId="32" fillId="11" borderId="31" xfId="0" applyFont="1" applyFill="1" applyBorder="1" applyAlignment="1">
      <alignment horizontal="center" vertical="center"/>
    </xf>
    <xf numFmtId="0" fontId="32" fillId="11" borderId="2" xfId="0" applyFont="1" applyFill="1" applyBorder="1" applyAlignment="1">
      <alignment horizontal="center" vertical="center"/>
    </xf>
    <xf numFmtId="0" fontId="32" fillId="11" borderId="32" xfId="0" applyFont="1" applyFill="1" applyBorder="1" applyAlignment="1">
      <alignment horizontal="center" vertical="center"/>
    </xf>
    <xf numFmtId="167" fontId="32" fillId="11" borderId="44" xfId="0" applyNumberFormat="1" applyFont="1" applyFill="1" applyBorder="1" applyAlignment="1">
      <alignment horizontal="center" vertical="center"/>
    </xf>
    <xf numFmtId="167" fontId="32" fillId="11" borderId="45" xfId="0" applyNumberFormat="1" applyFont="1" applyFill="1" applyBorder="1" applyAlignment="1">
      <alignment horizontal="center" vertical="center"/>
    </xf>
    <xf numFmtId="167" fontId="32" fillId="11" borderId="46" xfId="0" applyNumberFormat="1" applyFont="1" applyFill="1" applyBorder="1" applyAlignment="1">
      <alignment horizontal="center" vertical="center"/>
    </xf>
    <xf numFmtId="2" fontId="32" fillId="11" borderId="10" xfId="0" applyNumberFormat="1" applyFont="1" applyFill="1" applyBorder="1" applyAlignment="1">
      <alignment horizontal="center" vertical="center"/>
    </xf>
    <xf numFmtId="4" fontId="32" fillId="11" borderId="32" xfId="0" applyNumberFormat="1" applyFont="1" applyFill="1" applyBorder="1" applyAlignment="1">
      <alignment horizontal="center" vertical="center"/>
    </xf>
    <xf numFmtId="0" fontId="16" fillId="16" borderId="0" xfId="2" applyFont="1" applyFill="1" applyAlignment="1">
      <alignment vertical="center"/>
    </xf>
    <xf numFmtId="0" fontId="36" fillId="0" borderId="0" xfId="2" applyFont="1" applyAlignment="1">
      <alignment vertical="center"/>
    </xf>
    <xf numFmtId="0" fontId="32" fillId="10" borderId="18" xfId="0" applyFont="1" applyFill="1" applyBorder="1" applyAlignment="1">
      <alignment horizontal="center" vertical="center"/>
    </xf>
    <xf numFmtId="0" fontId="32" fillId="10" borderId="7" xfId="0" applyFont="1" applyFill="1" applyBorder="1" applyAlignment="1">
      <alignment horizontal="center" vertical="center"/>
    </xf>
    <xf numFmtId="0" fontId="32" fillId="10" borderId="4" xfId="2" applyFont="1" applyFill="1" applyBorder="1" applyAlignment="1">
      <alignment horizontal="center" vertical="center"/>
    </xf>
    <xf numFmtId="0" fontId="32" fillId="10" borderId="4" xfId="0" applyFont="1" applyFill="1" applyBorder="1" applyAlignment="1">
      <alignment horizontal="center" vertical="center" wrapText="1"/>
    </xf>
    <xf numFmtId="2" fontId="32" fillId="11" borderId="11" xfId="0" applyNumberFormat="1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/>
    </xf>
    <xf numFmtId="0" fontId="19" fillId="10" borderId="3" xfId="0" applyFont="1" applyFill="1" applyBorder="1" applyAlignment="1">
      <alignment horizontal="center"/>
    </xf>
    <xf numFmtId="0" fontId="19" fillId="10" borderId="8" xfId="0" applyFont="1" applyFill="1" applyBorder="1" applyAlignment="1">
      <alignment horizontal="center" vertical="center"/>
    </xf>
    <xf numFmtId="4" fontId="19" fillId="10" borderId="15" xfId="0" applyNumberFormat="1" applyFont="1" applyFill="1" applyBorder="1" applyAlignment="1">
      <alignment horizontal="right" vertical="center" indent="1"/>
    </xf>
    <xf numFmtId="0" fontId="19" fillId="10" borderId="2" xfId="0" applyFont="1" applyFill="1" applyBorder="1" applyAlignment="1">
      <alignment horizontal="center" vertical="center"/>
    </xf>
    <xf numFmtId="4" fontId="19" fillId="10" borderId="16" xfId="0" applyNumberFormat="1" applyFont="1" applyFill="1" applyBorder="1" applyAlignment="1">
      <alignment horizontal="right" vertical="center" indent="1"/>
    </xf>
    <xf numFmtId="164" fontId="19" fillId="10" borderId="4" xfId="1" applyNumberFormat="1" applyFont="1" applyFill="1" applyBorder="1" applyAlignment="1" applyProtection="1">
      <alignment horizontal="center" vertical="center"/>
    </xf>
    <xf numFmtId="0" fontId="0" fillId="12" borderId="5" xfId="0" applyFill="1" applyBorder="1"/>
    <xf numFmtId="4" fontId="5" fillId="12" borderId="5" xfId="0" applyNumberFormat="1" applyFont="1" applyFill="1" applyBorder="1"/>
    <xf numFmtId="4" fontId="0" fillId="12" borderId="5" xfId="0" applyNumberFormat="1" applyFill="1" applyBorder="1" applyAlignment="1">
      <alignment horizontal="center" vertical="center"/>
    </xf>
    <xf numFmtId="4" fontId="5" fillId="12" borderId="5" xfId="0" applyNumberFormat="1" applyFont="1" applyFill="1" applyBorder="1" applyAlignment="1">
      <alignment horizontal="center"/>
    </xf>
    <xf numFmtId="4" fontId="6" fillId="12" borderId="5" xfId="0" applyNumberFormat="1" applyFont="1" applyFill="1" applyBorder="1" applyAlignment="1">
      <alignment horizontal="center"/>
    </xf>
    <xf numFmtId="4" fontId="0" fillId="12" borderId="5" xfId="0" applyNumberFormat="1" applyFill="1" applyBorder="1" applyAlignment="1">
      <alignment horizontal="center"/>
    </xf>
    <xf numFmtId="4" fontId="2" fillId="12" borderId="5" xfId="0" applyNumberFormat="1" applyFont="1" applyFill="1" applyBorder="1" applyAlignment="1">
      <alignment horizontal="center" vertical="center"/>
    </xf>
    <xf numFmtId="0" fontId="0" fillId="12" borderId="3" xfId="0" applyFill="1" applyBorder="1"/>
    <xf numFmtId="171" fontId="36" fillId="0" borderId="46" xfId="0" applyNumberFormat="1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" fillId="0" borderId="0" xfId="2"/>
    <xf numFmtId="0" fontId="43" fillId="0" borderId="0" xfId="2" applyFont="1" applyAlignment="1">
      <alignment vertical="center"/>
    </xf>
    <xf numFmtId="0" fontId="44" fillId="10" borderId="11" xfId="2" applyFont="1" applyFill="1" applyBorder="1" applyAlignment="1">
      <alignment horizontal="centerContinuous" vertical="center"/>
    </xf>
    <xf numFmtId="0" fontId="44" fillId="10" borderId="12" xfId="2" applyFont="1" applyFill="1" applyBorder="1" applyAlignment="1">
      <alignment horizontal="centerContinuous" vertical="center"/>
    </xf>
    <xf numFmtId="0" fontId="43" fillId="0" borderId="2" xfId="2" applyFont="1" applyBorder="1" applyAlignment="1">
      <alignment vertical="center"/>
    </xf>
    <xf numFmtId="0" fontId="43" fillId="0" borderId="2" xfId="2" applyFont="1" applyBorder="1" applyAlignment="1">
      <alignment horizontal="center" vertical="center"/>
    </xf>
    <xf numFmtId="0" fontId="43" fillId="0" borderId="53" xfId="2" applyFont="1" applyBorder="1" applyAlignment="1">
      <alignment horizontal="center" vertical="center"/>
    </xf>
    <xf numFmtId="4" fontId="2" fillId="0" borderId="0" xfId="2" applyNumberFormat="1"/>
    <xf numFmtId="0" fontId="43" fillId="0" borderId="0" xfId="2" applyFont="1" applyAlignment="1">
      <alignment horizontal="left" vertical="center" indent="1"/>
    </xf>
    <xf numFmtId="4" fontId="43" fillId="0" borderId="0" xfId="2" applyNumberFormat="1" applyFont="1" applyAlignment="1">
      <alignment horizontal="center" vertical="center"/>
    </xf>
    <xf numFmtId="0" fontId="2" fillId="3" borderId="14" xfId="2" applyFill="1" applyBorder="1"/>
    <xf numFmtId="9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3" borderId="13" xfId="2" applyFill="1" applyBorder="1"/>
    <xf numFmtId="0" fontId="2" fillId="17" borderId="10" xfId="2" applyFill="1" applyBorder="1"/>
    <xf numFmtId="9" fontId="0" fillId="0" borderId="2" xfId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0" fontId="2" fillId="0" borderId="0" xfId="2" applyAlignment="1">
      <alignment vertical="center"/>
    </xf>
    <xf numFmtId="9" fontId="0" fillId="0" borderId="4" xfId="1" applyFont="1" applyBorder="1" applyAlignment="1">
      <alignment horizontal="center"/>
    </xf>
    <xf numFmtId="0" fontId="44" fillId="10" borderId="11" xfId="2" applyFont="1" applyFill="1" applyBorder="1" applyAlignment="1">
      <alignment horizontal="center" vertical="center"/>
    </xf>
    <xf numFmtId="4" fontId="44" fillId="10" borderId="17" xfId="2" applyNumberFormat="1" applyFont="1" applyFill="1" applyBorder="1" applyAlignment="1">
      <alignment horizontal="center" vertical="center"/>
    </xf>
    <xf numFmtId="0" fontId="45" fillId="0" borderId="0" xfId="2" applyFont="1"/>
    <xf numFmtId="10" fontId="43" fillId="0" borderId="54" xfId="1" applyNumberFormat="1" applyFont="1" applyBorder="1" applyAlignment="1">
      <alignment horizontal="center" vertical="center"/>
    </xf>
    <xf numFmtId="10" fontId="44" fillId="10" borderId="30" xfId="1" applyNumberFormat="1" applyFont="1" applyFill="1" applyBorder="1" applyAlignment="1">
      <alignment horizontal="center" vertical="center"/>
    </xf>
    <xf numFmtId="4" fontId="2" fillId="3" borderId="15" xfId="2" applyNumberFormat="1" applyFill="1" applyBorder="1" applyAlignment="1">
      <alignment horizontal="right"/>
    </xf>
    <xf numFmtId="4" fontId="2" fillId="3" borderId="29" xfId="2" applyNumberFormat="1" applyFill="1" applyBorder="1" applyAlignment="1">
      <alignment horizontal="right"/>
    </xf>
    <xf numFmtId="4" fontId="2" fillId="17" borderId="16" xfId="2" applyNumberFormat="1" applyFill="1" applyBorder="1" applyAlignment="1">
      <alignment horizontal="right"/>
    </xf>
    <xf numFmtId="4" fontId="2" fillId="0" borderId="0" xfId="2" applyNumberFormat="1" applyAlignment="1">
      <alignment horizontal="right" vertical="center"/>
    </xf>
    <xf numFmtId="0" fontId="2" fillId="0" borderId="0" xfId="2" applyAlignment="1">
      <alignment horizontal="left" vertical="center" indent="1"/>
    </xf>
    <xf numFmtId="0" fontId="2" fillId="12" borderId="0" xfId="2" applyFill="1" applyProtection="1">
      <protection locked="0"/>
    </xf>
    <xf numFmtId="0" fontId="19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7" fillId="15" borderId="18" xfId="0" applyFont="1" applyFill="1" applyBorder="1" applyAlignment="1">
      <alignment horizontal="center" vertical="center" wrapText="1"/>
    </xf>
    <xf numFmtId="0" fontId="19" fillId="15" borderId="7" xfId="0" applyFont="1" applyFill="1" applyBorder="1" applyAlignment="1">
      <alignment horizontal="center" vertical="center" wrapText="1"/>
    </xf>
    <xf numFmtId="0" fontId="32" fillId="10" borderId="18" xfId="2" applyFont="1" applyFill="1" applyBorder="1" applyAlignment="1">
      <alignment horizontal="center" vertical="center" wrapText="1"/>
    </xf>
    <xf numFmtId="0" fontId="32" fillId="10" borderId="6" xfId="2" applyFont="1" applyFill="1" applyBorder="1" applyAlignment="1">
      <alignment horizontal="center" vertical="center" wrapText="1"/>
    </xf>
    <xf numFmtId="0" fontId="32" fillId="10" borderId="7" xfId="2" applyFont="1" applyFill="1" applyBorder="1" applyAlignment="1">
      <alignment horizontal="center" vertical="center" wrapText="1"/>
    </xf>
    <xf numFmtId="0" fontId="33" fillId="10" borderId="6" xfId="2" applyFont="1" applyFill="1" applyBorder="1" applyAlignment="1">
      <alignment horizontal="center" vertical="center" wrapText="1"/>
    </xf>
    <xf numFmtId="0" fontId="33" fillId="10" borderId="7" xfId="2" applyFont="1" applyFill="1" applyBorder="1" applyAlignment="1">
      <alignment horizontal="center" vertical="center" wrapText="1"/>
    </xf>
    <xf numFmtId="0" fontId="17" fillId="15" borderId="18" xfId="0" applyFont="1" applyFill="1" applyBorder="1" applyAlignment="1">
      <alignment horizontal="center" vertical="center"/>
    </xf>
    <xf numFmtId="0" fontId="19" fillId="15" borderId="6" xfId="0" applyFont="1" applyFill="1" applyBorder="1" applyAlignment="1">
      <alignment horizontal="center" vertical="center"/>
    </xf>
    <xf numFmtId="0" fontId="19" fillId="15" borderId="7" xfId="0" applyFont="1" applyFill="1" applyBorder="1" applyAlignment="1">
      <alignment horizontal="center" vertical="center"/>
    </xf>
    <xf numFmtId="0" fontId="17" fillId="11" borderId="18" xfId="0" applyFont="1" applyFill="1" applyBorder="1" applyAlignment="1">
      <alignment horizontal="center" vertical="center"/>
    </xf>
    <xf numFmtId="0" fontId="19" fillId="11" borderId="6" xfId="0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 vertical="center"/>
    </xf>
    <xf numFmtId="0" fontId="17" fillId="11" borderId="18" xfId="0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horizontal="center" vertical="center" wrapText="1"/>
    </xf>
    <xf numFmtId="0" fontId="19" fillId="11" borderId="7" xfId="0" applyFont="1" applyFill="1" applyBorder="1" applyAlignment="1">
      <alignment horizontal="center" vertical="center" wrapText="1"/>
    </xf>
    <xf numFmtId="0" fontId="32" fillId="10" borderId="18" xfId="0" applyFont="1" applyFill="1" applyBorder="1" applyAlignment="1">
      <alignment horizontal="center" vertical="center" wrapText="1"/>
    </xf>
    <xf numFmtId="0" fontId="32" fillId="10" borderId="7" xfId="0" applyFont="1" applyFill="1" applyBorder="1" applyAlignment="1">
      <alignment horizontal="center" vertical="center" wrapText="1"/>
    </xf>
    <xf numFmtId="0" fontId="19" fillId="10" borderId="14" xfId="0" applyFont="1" applyFill="1" applyBorder="1" applyAlignment="1">
      <alignment horizontal="left" vertical="center" wrapText="1"/>
    </xf>
    <xf numFmtId="0" fontId="41" fillId="10" borderId="10" xfId="0" applyFont="1" applyFill="1" applyBorder="1" applyAlignment="1">
      <alignment horizontal="left" vertical="center" wrapText="1"/>
    </xf>
  </cellXfs>
  <cellStyles count="7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Porcentaje" xfId="1" builtinId="5"/>
    <cellStyle name="Porcentaje 2" xfId="5" xr:uid="{00000000-0005-0000-0000-000005000000}"/>
    <cellStyle name="Porcentaje 3" xfId="6" xr:uid="{00000000-0005-0000-0000-000006000000}"/>
  </cellStyles>
  <dxfs count="2">
    <dxf>
      <font>
        <b/>
        <i val="0"/>
        <color theme="0"/>
      </font>
      <numFmt numFmtId="0" formatCode="General"/>
      <fill>
        <patternFill>
          <bgColor rgb="FF000000"/>
        </patternFill>
      </fill>
    </dxf>
    <dxf>
      <font>
        <b/>
        <i val="0"/>
        <color theme="0"/>
      </font>
      <numFmt numFmtId="0" formatCode="General"/>
      <fill>
        <patternFill>
          <bgColor theme="1"/>
        </patternFill>
      </fill>
    </dxf>
  </dxfs>
  <tableStyles count="0" defaultTableStyle="TableStyleMedium2" defaultPivotStyle="PivotStyleLight16"/>
  <colors>
    <mruColors>
      <color rgb="FFA9A389"/>
      <color rgb="FFEBECC4"/>
      <color rgb="FFFF33CC"/>
      <color rgb="FF829385"/>
      <color rgb="FF34507B"/>
      <color rgb="FF57A354"/>
      <color rgb="FF4D4B34"/>
      <color rgb="FF000000"/>
      <color rgb="FF6A5235"/>
      <color rgb="FFBC55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416951498426039"/>
          <c:y val="0.26222292213473314"/>
          <c:w val="0.81029002515984938"/>
          <c:h val="0.6666688368126197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4D4B3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2E8-4CB1-8BFA-3DBA684530B1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2E8-4CB1-8BFA-3DBA684530B1}"/>
              </c:ext>
            </c:extLst>
          </c:dPt>
          <c:dPt>
            <c:idx val="2"/>
            <c:bubble3D val="0"/>
            <c:spPr>
              <a:solidFill>
                <a:srgbClr val="34507B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2E8-4CB1-8BFA-3DBA684530B1}"/>
              </c:ext>
            </c:extLst>
          </c:dPt>
          <c:dPt>
            <c:idx val="3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2E8-4CB1-8BFA-3DBA684530B1}"/>
              </c:ext>
            </c:extLst>
          </c:dPt>
          <c:dPt>
            <c:idx val="4"/>
            <c:bubble3D val="0"/>
            <c:spPr>
              <a:solidFill>
                <a:srgbClr val="57A35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2E8-4CB1-8BFA-3DBA684530B1}"/>
              </c:ext>
            </c:extLst>
          </c:dPt>
          <c:dPt>
            <c:idx val="5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2E8-4CB1-8BFA-3DBA684530B1}"/>
              </c:ext>
            </c:extLst>
          </c:dPt>
          <c:dPt>
            <c:idx val="6"/>
            <c:bubble3D val="0"/>
            <c:spPr>
              <a:solidFill>
                <a:srgbClr val="A9A38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2E8-4CB1-8BFA-3DBA684530B1}"/>
              </c:ext>
            </c:extLst>
          </c:dPt>
          <c:dPt>
            <c:idx val="7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2E8-4CB1-8BFA-3DBA684530B1}"/>
              </c:ext>
            </c:extLst>
          </c:dPt>
          <c:dPt>
            <c:idx val="8"/>
            <c:bubble3D val="0"/>
            <c:spPr>
              <a:solidFill>
                <a:srgbClr val="82938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52E8-4CB1-8BFA-3DBA684530B1}"/>
              </c:ext>
            </c:extLst>
          </c:dPt>
          <c:dLbls>
            <c:dLbl>
              <c:idx val="0"/>
              <c:layout>
                <c:manualLayout>
                  <c:x val="-0.20699496440639045"/>
                  <c:y val="-0.23181071428571429"/>
                </c:manualLayout>
              </c:layout>
              <c:numFmt formatCode="0.0%" sourceLinked="0"/>
              <c:spPr>
                <a:solidFill>
                  <a:srgbClr val="4D4B34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0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E8-4CB1-8BFA-3DBA684530B1}"/>
                </c:ext>
              </c:extLst>
            </c:dLbl>
            <c:dLbl>
              <c:idx val="1"/>
              <c:layout>
                <c:manualLayout>
                  <c:x val="1.035085129416396E-3"/>
                  <c:y val="7.2967063492063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E8-4CB1-8BFA-3DBA684530B1}"/>
                </c:ext>
              </c:extLst>
            </c:dLbl>
            <c:dLbl>
              <c:idx val="2"/>
              <c:layout>
                <c:manualLayout>
                  <c:x val="-4.2983794245973164E-2"/>
                  <c:y val="5.00236111111111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E8-4CB1-8BFA-3DBA684530B1}"/>
                </c:ext>
              </c:extLst>
            </c:dLbl>
            <c:dLbl>
              <c:idx val="3"/>
              <c:layout>
                <c:manualLayout>
                  <c:x val="-7.5965866220516376E-2"/>
                  <c:y val="1.59426587301587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E8-4CB1-8BFA-3DBA684530B1}"/>
                </c:ext>
              </c:extLst>
            </c:dLbl>
            <c:dLbl>
              <c:idx val="4"/>
              <c:layout>
                <c:manualLayout>
                  <c:x val="-8.8623102176536614E-2"/>
                  <c:y val="-8.4990376202974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E8-4CB1-8BFA-3DBA684530B1}"/>
                </c:ext>
              </c:extLst>
            </c:dLbl>
            <c:dLbl>
              <c:idx val="5"/>
              <c:layout>
                <c:manualLayout>
                  <c:x val="-6.7760801102253715E-2"/>
                  <c:y val="-0.168924404761904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E8-4CB1-8BFA-3DBA684530B1}"/>
                </c:ext>
              </c:extLst>
            </c:dLbl>
            <c:dLbl>
              <c:idx val="6"/>
              <c:layout>
                <c:manualLayout>
                  <c:x val="5.7701833809007536E-3"/>
                  <c:y val="-0.120172619047619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2E8-4CB1-8BFA-3DBA684530B1}"/>
                </c:ext>
              </c:extLst>
            </c:dLbl>
            <c:dLbl>
              <c:idx val="7"/>
              <c:layout>
                <c:manualLayout>
                  <c:x val="7.5755659223033359E-2"/>
                  <c:y val="-6.50675754759461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2E8-4CB1-8BFA-3DBA684530B1}"/>
                </c:ext>
              </c:extLst>
            </c:dLbl>
            <c:dLbl>
              <c:idx val="8"/>
              <c:layout>
                <c:manualLayout>
                  <c:x val="0.16434764393884635"/>
                  <c:y val="-7.65829294650419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2E8-4CB1-8BFA-3DBA684530B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GRÁFICO!$F$4:$F$12</c:f>
              <c:strCache>
                <c:ptCount val="9"/>
                <c:pt idx="0">
                  <c:v>Salarios *</c:v>
                </c:pt>
                <c:pt idx="1">
                  <c:v>Electricidad</c:v>
                </c:pt>
                <c:pt idx="2">
                  <c:v>Prep.de Café</c:v>
                </c:pt>
                <c:pt idx="3">
                  <c:v>Embalaje</c:v>
                </c:pt>
                <c:pt idx="4">
                  <c:v>Tratam.A&amp;B</c:v>
                </c:pt>
                <c:pt idx="5">
                  <c:v>Trans.de Café</c:v>
                </c:pt>
                <c:pt idx="6">
                  <c:v>Leña, C&amp;L</c:v>
                </c:pt>
                <c:pt idx="7">
                  <c:v>Seguros</c:v>
                </c:pt>
                <c:pt idx="8">
                  <c:v>Otros</c:v>
                </c:pt>
              </c:strCache>
            </c:strRef>
          </c:cat>
          <c:val>
            <c:numRef>
              <c:f>GRÁFICO!$G$4:$G$12</c:f>
              <c:numCache>
                <c:formatCode>#,##0.00</c:formatCode>
                <c:ptCount val="9"/>
                <c:pt idx="0">
                  <c:v>12341.709227705947</c:v>
                </c:pt>
                <c:pt idx="1">
                  <c:v>1941.5616788310001</c:v>
                </c:pt>
                <c:pt idx="2">
                  <c:v>1546.4473595456459</c:v>
                </c:pt>
                <c:pt idx="3">
                  <c:v>1141.5605047516287</c:v>
                </c:pt>
                <c:pt idx="4">
                  <c:v>898.32652231149291</c:v>
                </c:pt>
                <c:pt idx="5">
                  <c:v>883.83</c:v>
                </c:pt>
                <c:pt idx="6">
                  <c:v>482.15767207012084</c:v>
                </c:pt>
                <c:pt idx="7">
                  <c:v>263.6370361296469</c:v>
                </c:pt>
                <c:pt idx="8">
                  <c:v>288.61696629332721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2E8-4CB1-8BFA-3DBA684530B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R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10</xdr:col>
      <xdr:colOff>654450</xdr:colOff>
      <xdr:row>28</xdr:row>
      <xdr:rowOff>152625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DB2483AB-DCC5-B134-16AF-3523D529C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85725"/>
          <a:ext cx="8179200" cy="4600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22</xdr:row>
      <xdr:rowOff>219075</xdr:rowOff>
    </xdr:from>
    <xdr:to>
      <xdr:col>6</xdr:col>
      <xdr:colOff>476250</xdr:colOff>
      <xdr:row>24</xdr:row>
      <xdr:rowOff>76200</xdr:rowOff>
    </xdr:to>
    <xdr:sp macro="" textlink="">
      <xdr:nvSpPr>
        <xdr:cNvPr id="2576" name="AutoShape 2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>
          <a:spLocks noChangeArrowheads="1"/>
        </xdr:cNvSpPr>
      </xdr:nvSpPr>
      <xdr:spPr bwMode="auto">
        <a:xfrm>
          <a:off x="3448050" y="3829050"/>
          <a:ext cx="504825" cy="438150"/>
        </a:xfrm>
        <a:prstGeom prst="rightArrow">
          <a:avLst>
            <a:gd name="adj1" fmla="val 50000"/>
            <a:gd name="adj2" fmla="val 37791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114300</xdr:colOff>
      <xdr:row>40</xdr:row>
      <xdr:rowOff>57150</xdr:rowOff>
    </xdr:from>
    <xdr:to>
      <xdr:col>6</xdr:col>
      <xdr:colOff>533400</xdr:colOff>
      <xdr:row>42</xdr:row>
      <xdr:rowOff>123825</xdr:rowOff>
    </xdr:to>
    <xdr:sp macro="" textlink="">
      <xdr:nvSpPr>
        <xdr:cNvPr id="2577" name="AutoShape 13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>
          <a:spLocks noChangeArrowheads="1"/>
        </xdr:cNvSpPr>
      </xdr:nvSpPr>
      <xdr:spPr bwMode="auto">
        <a:xfrm>
          <a:off x="3590925" y="7496175"/>
          <a:ext cx="419100" cy="542925"/>
        </a:xfrm>
        <a:prstGeom prst="rightArrow">
          <a:avLst>
            <a:gd name="adj1" fmla="val 50000"/>
            <a:gd name="adj2" fmla="val 28509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76200</xdr:colOff>
      <xdr:row>17</xdr:row>
      <xdr:rowOff>76200</xdr:rowOff>
    </xdr:from>
    <xdr:to>
      <xdr:col>6</xdr:col>
      <xdr:colOff>485775</xdr:colOff>
      <xdr:row>19</xdr:row>
      <xdr:rowOff>104775</xdr:rowOff>
    </xdr:to>
    <xdr:sp macro="" textlink="">
      <xdr:nvSpPr>
        <xdr:cNvPr id="2578" name="AutoShape 13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>
          <a:spLocks noChangeArrowheads="1"/>
        </xdr:cNvSpPr>
      </xdr:nvSpPr>
      <xdr:spPr bwMode="auto">
        <a:xfrm>
          <a:off x="3419475" y="2695575"/>
          <a:ext cx="542925" cy="504825"/>
        </a:xfrm>
        <a:prstGeom prst="rightArrow">
          <a:avLst>
            <a:gd name="adj1" fmla="val 50000"/>
            <a:gd name="adj2" fmla="val 31861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6</xdr:col>
      <xdr:colOff>597477</xdr:colOff>
      <xdr:row>14</xdr:row>
      <xdr:rowOff>86591</xdr:rowOff>
    </xdr:from>
    <xdr:to>
      <xdr:col>12</xdr:col>
      <xdr:colOff>419298</xdr:colOff>
      <xdr:row>22</xdr:row>
      <xdr:rowOff>112432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7DB1D7-4C3B-28FC-A629-DA0F49BA3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8432" y="2476500"/>
          <a:ext cx="4688230" cy="1627773"/>
        </a:xfrm>
        <a:prstGeom prst="rect">
          <a:avLst/>
        </a:prstGeom>
      </xdr:spPr>
    </xdr:pic>
    <xdr:clientData/>
  </xdr:twoCellAnchor>
  <xdr:twoCellAnchor editAs="oneCell">
    <xdr:from>
      <xdr:col>6</xdr:col>
      <xdr:colOff>606136</xdr:colOff>
      <xdr:row>22</xdr:row>
      <xdr:rowOff>181840</xdr:rowOff>
    </xdr:from>
    <xdr:to>
      <xdr:col>11</xdr:col>
      <xdr:colOff>324250</xdr:colOff>
      <xdr:row>31</xdr:row>
      <xdr:rowOff>275882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A7F1F18-01FF-AC71-A541-1B83E24EC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7091" y="4173681"/>
          <a:ext cx="3822523" cy="2042337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666750</xdr:colOff>
      <xdr:row>38</xdr:row>
      <xdr:rowOff>0</xdr:rowOff>
    </xdr:from>
    <xdr:to>
      <xdr:col>12</xdr:col>
      <xdr:colOff>573923</xdr:colOff>
      <xdr:row>44</xdr:row>
      <xdr:rowOff>173933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B713922-2AE2-D75B-4471-C4A4DEAAA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47705" y="7429500"/>
          <a:ext cx="4773582" cy="1481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695325</xdr:colOff>
      <xdr:row>1</xdr:row>
      <xdr:rowOff>266700</xdr:rowOff>
    </xdr:from>
    <xdr:to>
      <xdr:col>15</xdr:col>
      <xdr:colOff>875325</xdr:colOff>
      <xdr:row>2</xdr:row>
      <xdr:rowOff>46650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6477844D-565C-425E-B0C7-091412807F0E}"/>
            </a:ext>
          </a:extLst>
        </xdr:cNvPr>
        <xdr:cNvSpPr/>
      </xdr:nvSpPr>
      <xdr:spPr>
        <a:xfrm>
          <a:off x="12087225" y="333375"/>
          <a:ext cx="180000" cy="180000"/>
        </a:xfrm>
        <a:prstGeom prst="ellipse">
          <a:avLst/>
        </a:prstGeom>
        <a:solidFill>
          <a:srgbClr val="34507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16</xdr:col>
      <xdr:colOff>38100</xdr:colOff>
      <xdr:row>1</xdr:row>
      <xdr:rowOff>276225</xdr:rowOff>
    </xdr:from>
    <xdr:to>
      <xdr:col>16</xdr:col>
      <xdr:colOff>218100</xdr:colOff>
      <xdr:row>2</xdr:row>
      <xdr:rowOff>56175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16D1C419-CFF5-4C8F-88F9-2770910389ED}"/>
            </a:ext>
          </a:extLst>
        </xdr:cNvPr>
        <xdr:cNvSpPr/>
      </xdr:nvSpPr>
      <xdr:spPr>
        <a:xfrm>
          <a:off x="12334875" y="342900"/>
          <a:ext cx="180000" cy="180000"/>
        </a:xfrm>
        <a:prstGeom prst="ellipse">
          <a:avLst/>
        </a:prstGeom>
        <a:solidFill>
          <a:srgbClr val="57A35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19</xdr:col>
      <xdr:colOff>380999</xdr:colOff>
      <xdr:row>1</xdr:row>
      <xdr:rowOff>276225</xdr:rowOff>
    </xdr:from>
    <xdr:to>
      <xdr:col>19</xdr:col>
      <xdr:colOff>560999</xdr:colOff>
      <xdr:row>2</xdr:row>
      <xdr:rowOff>56175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CD0184B6-30D1-451B-84CC-150B37FEAD96}"/>
            </a:ext>
          </a:extLst>
        </xdr:cNvPr>
        <xdr:cNvSpPr/>
      </xdr:nvSpPr>
      <xdr:spPr>
        <a:xfrm>
          <a:off x="14030324" y="342900"/>
          <a:ext cx="180000" cy="180000"/>
        </a:xfrm>
        <a:prstGeom prst="ellipse">
          <a:avLst/>
        </a:prstGeom>
        <a:solidFill>
          <a:srgbClr val="6A523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_tradn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_tradnl"/>
        </a:p>
      </xdr:txBody>
    </xdr:sp>
    <xdr:clientData/>
  </xdr:twoCellAnchor>
  <xdr:twoCellAnchor>
    <xdr:from>
      <xdr:col>16</xdr:col>
      <xdr:colOff>284047</xdr:colOff>
      <xdr:row>1</xdr:row>
      <xdr:rowOff>266700</xdr:rowOff>
    </xdr:from>
    <xdr:to>
      <xdr:col>17</xdr:col>
      <xdr:colOff>140197</xdr:colOff>
      <xdr:row>2</xdr:row>
      <xdr:rowOff>46650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701C8BC3-12B9-40D0-9368-D649A013DB4A}"/>
            </a:ext>
          </a:extLst>
        </xdr:cNvPr>
        <xdr:cNvSpPr/>
      </xdr:nvSpPr>
      <xdr:spPr>
        <a:xfrm>
          <a:off x="12580822" y="333375"/>
          <a:ext cx="180000" cy="180000"/>
        </a:xfrm>
        <a:prstGeom prst="ellipse">
          <a:avLst/>
        </a:prstGeom>
        <a:solidFill>
          <a:srgbClr val="F5876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_tradn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_tradnl"/>
        </a:p>
      </xdr:txBody>
    </xdr:sp>
    <xdr:clientData/>
  </xdr:twoCellAnchor>
  <xdr:twoCellAnchor>
    <xdr:from>
      <xdr:col>17</xdr:col>
      <xdr:colOff>256923</xdr:colOff>
      <xdr:row>1</xdr:row>
      <xdr:rowOff>272498</xdr:rowOff>
    </xdr:from>
    <xdr:to>
      <xdr:col>18</xdr:col>
      <xdr:colOff>170223</xdr:colOff>
      <xdr:row>2</xdr:row>
      <xdr:rowOff>52448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11264D0F-C706-416E-8A3D-649C48DA5D2F}"/>
            </a:ext>
          </a:extLst>
        </xdr:cNvPr>
        <xdr:cNvSpPr/>
      </xdr:nvSpPr>
      <xdr:spPr>
        <a:xfrm>
          <a:off x="12877548" y="339173"/>
          <a:ext cx="180000" cy="180000"/>
        </a:xfrm>
        <a:prstGeom prst="ellipse">
          <a:avLst/>
        </a:prstGeom>
        <a:solidFill>
          <a:srgbClr val="F9CD1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_tradn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_tradnl"/>
        </a:p>
      </xdr:txBody>
    </xdr:sp>
    <xdr:clientData/>
  </xdr:twoCellAnchor>
  <xdr:twoCellAnchor>
    <xdr:from>
      <xdr:col>18</xdr:col>
      <xdr:colOff>302845</xdr:colOff>
      <xdr:row>1</xdr:row>
      <xdr:rowOff>272498</xdr:rowOff>
    </xdr:from>
    <xdr:to>
      <xdr:col>18</xdr:col>
      <xdr:colOff>482845</xdr:colOff>
      <xdr:row>2</xdr:row>
      <xdr:rowOff>52448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9EE9786F-80FB-45F4-8D6A-F2A62566BC96}"/>
            </a:ext>
          </a:extLst>
        </xdr:cNvPr>
        <xdr:cNvSpPr/>
      </xdr:nvSpPr>
      <xdr:spPr>
        <a:xfrm>
          <a:off x="13190170" y="339173"/>
          <a:ext cx="180000" cy="180000"/>
        </a:xfrm>
        <a:prstGeom prst="ellipse">
          <a:avLst/>
        </a:prstGeom>
        <a:solidFill>
          <a:srgbClr val="AAD25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_tradn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_tradnl"/>
        </a:p>
      </xdr:txBody>
    </xdr:sp>
    <xdr:clientData/>
  </xdr:twoCellAnchor>
  <xdr:twoCellAnchor>
    <xdr:from>
      <xdr:col>18</xdr:col>
      <xdr:colOff>599571</xdr:colOff>
      <xdr:row>1</xdr:row>
      <xdr:rowOff>266700</xdr:rowOff>
    </xdr:from>
    <xdr:to>
      <xdr:col>19</xdr:col>
      <xdr:colOff>17571</xdr:colOff>
      <xdr:row>2</xdr:row>
      <xdr:rowOff>46650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BB9B308B-9F50-4823-A4EB-0F8F0512DE3A}"/>
            </a:ext>
          </a:extLst>
        </xdr:cNvPr>
        <xdr:cNvSpPr/>
      </xdr:nvSpPr>
      <xdr:spPr>
        <a:xfrm>
          <a:off x="13486896" y="333375"/>
          <a:ext cx="180000" cy="180000"/>
        </a:xfrm>
        <a:prstGeom prst="ellipse">
          <a:avLst/>
        </a:prstGeom>
        <a:solidFill>
          <a:srgbClr val="BC55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_tradn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_tradnl"/>
        </a:p>
      </xdr:txBody>
    </xdr:sp>
    <xdr:clientData/>
  </xdr:twoCellAnchor>
  <xdr:twoCellAnchor>
    <xdr:from>
      <xdr:col>19</xdr:col>
      <xdr:colOff>134297</xdr:colOff>
      <xdr:row>1</xdr:row>
      <xdr:rowOff>272498</xdr:rowOff>
    </xdr:from>
    <xdr:to>
      <xdr:col>19</xdr:col>
      <xdr:colOff>314297</xdr:colOff>
      <xdr:row>2</xdr:row>
      <xdr:rowOff>52448</xdr:rowOff>
    </xdr:to>
    <xdr:sp macro="" textlink="">
      <xdr:nvSpPr>
        <xdr:cNvPr id="11" name="Elipse 10">
          <a:extLst>
            <a:ext uri="{FF2B5EF4-FFF2-40B4-BE49-F238E27FC236}">
              <a16:creationId xmlns:a16="http://schemas.microsoft.com/office/drawing/2014/main" id="{6C439C71-F083-4FA4-BCE5-E27B3AD7B43E}"/>
            </a:ext>
          </a:extLst>
        </xdr:cNvPr>
        <xdr:cNvSpPr/>
      </xdr:nvSpPr>
      <xdr:spPr>
        <a:xfrm>
          <a:off x="13783622" y="339173"/>
          <a:ext cx="180000" cy="180000"/>
        </a:xfrm>
        <a:prstGeom prst="ellipse">
          <a:avLst/>
        </a:prstGeom>
        <a:solidFill>
          <a:srgbClr val="2970B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_tradn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_tradnl"/>
        </a:p>
      </xdr:txBody>
    </xdr:sp>
    <xdr:clientData/>
  </xdr:twoCellAnchor>
  <xdr:twoCellAnchor>
    <xdr:from>
      <xdr:col>19</xdr:col>
      <xdr:colOff>608844</xdr:colOff>
      <xdr:row>1</xdr:row>
      <xdr:rowOff>272498</xdr:rowOff>
    </xdr:from>
    <xdr:to>
      <xdr:col>20</xdr:col>
      <xdr:colOff>26844</xdr:colOff>
      <xdr:row>2</xdr:row>
      <xdr:rowOff>52448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B74CFA67-B44A-4CDC-A583-25E92BB7F348}"/>
            </a:ext>
          </a:extLst>
        </xdr:cNvPr>
        <xdr:cNvSpPr/>
      </xdr:nvSpPr>
      <xdr:spPr>
        <a:xfrm>
          <a:off x="14258169" y="339173"/>
          <a:ext cx="180000" cy="180000"/>
        </a:xfrm>
        <a:prstGeom prst="ellipse">
          <a:avLst/>
        </a:prstGeom>
        <a:solidFill>
          <a:srgbClr val="57C2B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_tradn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_tradnl"/>
        </a:p>
      </xdr:txBody>
    </xdr:sp>
    <xdr:clientData/>
  </xdr:twoCellAnchor>
  <xdr:twoCellAnchor editAs="oneCell">
    <xdr:from>
      <xdr:col>1</xdr:col>
      <xdr:colOff>66675</xdr:colOff>
      <xdr:row>48</xdr:row>
      <xdr:rowOff>133350</xdr:rowOff>
    </xdr:from>
    <xdr:to>
      <xdr:col>8</xdr:col>
      <xdr:colOff>190500</xdr:colOff>
      <xdr:row>71</xdr:row>
      <xdr:rowOff>44257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9C295F-A8F6-53B6-E545-E77267D64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0220325"/>
          <a:ext cx="7200900" cy="34161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327025</xdr:colOff>
      <xdr:row>17</xdr:row>
      <xdr:rowOff>79374</xdr:rowOff>
    </xdr:from>
    <xdr:to>
      <xdr:col>18</xdr:col>
      <xdr:colOff>340925</xdr:colOff>
      <xdr:row>49</xdr:row>
      <xdr:rowOff>36199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87F836-CA58-4715-9F52-71A2EE32AF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5E885-E619-48C6-BD74-37758EEB2D1C}">
  <dimension ref="B2:C327"/>
  <sheetViews>
    <sheetView showGridLines="0" workbookViewId="0">
      <pane ySplit="2" topLeftCell="A1048536" activePane="bottomLeft" state="frozen"/>
      <selection pane="bottomLeft" activeCell="C41" sqref="C41:C327"/>
    </sheetView>
  </sheetViews>
  <sheetFormatPr baseColWidth="10" defaultRowHeight="12.75"/>
  <cols>
    <col min="1" max="1" width="1.42578125" style="24" customWidth="1"/>
    <col min="2" max="2" width="5" style="186" bestFit="1" customWidth="1"/>
    <col min="3" max="3" width="74.140625" style="24" bestFit="1" customWidth="1"/>
    <col min="4" max="16384" width="11.42578125" style="24"/>
  </cols>
  <sheetData>
    <row r="2" spans="2:3" ht="19.5" customHeight="1">
      <c r="B2" s="386" t="s">
        <v>179</v>
      </c>
      <c r="C2" s="387" t="s">
        <v>180</v>
      </c>
    </row>
    <row r="3" spans="2:3">
      <c r="B3" s="186">
        <v>0</v>
      </c>
      <c r="C3" s="24" t="s">
        <v>132</v>
      </c>
    </row>
    <row r="4" spans="2:3">
      <c r="B4" s="186">
        <v>1</v>
      </c>
      <c r="C4" s="24" t="s">
        <v>181</v>
      </c>
    </row>
    <row r="5" spans="2:3">
      <c r="B5" s="186">
        <v>8</v>
      </c>
      <c r="C5" s="24" t="s">
        <v>182</v>
      </c>
    </row>
    <row r="6" spans="2:3">
      <c r="B6" s="186">
        <v>9</v>
      </c>
      <c r="C6" s="24" t="s">
        <v>183</v>
      </c>
    </row>
    <row r="7" spans="2:3">
      <c r="B7" s="186">
        <v>13</v>
      </c>
      <c r="C7" s="24" t="s">
        <v>184</v>
      </c>
    </row>
    <row r="8" spans="2:3">
      <c r="B8" s="186">
        <v>14</v>
      </c>
      <c r="C8" s="24" t="s">
        <v>328</v>
      </c>
    </row>
    <row r="9" spans="2:3">
      <c r="B9" s="186">
        <v>22</v>
      </c>
      <c r="C9" s="24" t="s">
        <v>329</v>
      </c>
    </row>
    <row r="10" spans="2:3">
      <c r="B10" s="186">
        <v>25</v>
      </c>
      <c r="C10" s="24" t="s">
        <v>176</v>
      </c>
    </row>
    <row r="11" spans="2:3">
      <c r="B11" s="186">
        <v>39</v>
      </c>
      <c r="C11" s="24" t="s">
        <v>330</v>
      </c>
    </row>
    <row r="12" spans="2:3">
      <c r="B12" s="186">
        <v>42</v>
      </c>
      <c r="C12" s="24" t="s">
        <v>331</v>
      </c>
    </row>
    <row r="13" spans="2:3">
      <c r="B13" s="186">
        <v>45</v>
      </c>
      <c r="C13" s="24" t="s">
        <v>185</v>
      </c>
    </row>
    <row r="14" spans="2:3">
      <c r="B14" s="186">
        <v>49</v>
      </c>
      <c r="C14" s="24" t="s">
        <v>332</v>
      </c>
    </row>
    <row r="15" spans="2:3">
      <c r="B15" s="186">
        <v>54</v>
      </c>
      <c r="C15" s="24" t="s">
        <v>333</v>
      </c>
    </row>
    <row r="16" spans="2:3">
      <c r="B16" s="186">
        <v>60</v>
      </c>
      <c r="C16" s="24" t="s">
        <v>334</v>
      </c>
    </row>
    <row r="17" spans="2:3">
      <c r="B17" s="186">
        <v>66</v>
      </c>
      <c r="C17" s="24" t="s">
        <v>335</v>
      </c>
    </row>
    <row r="18" spans="2:3">
      <c r="B18" s="186">
        <v>67</v>
      </c>
      <c r="C18" s="24" t="s">
        <v>336</v>
      </c>
    </row>
    <row r="19" spans="2:3">
      <c r="B19" s="186">
        <v>71</v>
      </c>
      <c r="C19" s="24" t="s">
        <v>186</v>
      </c>
    </row>
    <row r="20" spans="2:3">
      <c r="B20" s="186">
        <v>72</v>
      </c>
      <c r="C20" s="24" t="s">
        <v>187</v>
      </c>
    </row>
    <row r="21" spans="2:3">
      <c r="B21" s="186">
        <v>75</v>
      </c>
      <c r="C21" s="24" t="s">
        <v>337</v>
      </c>
    </row>
    <row r="22" spans="2:3">
      <c r="B22" s="186">
        <v>77</v>
      </c>
      <c r="C22" s="24" t="s">
        <v>338</v>
      </c>
    </row>
    <row r="23" spans="2:3">
      <c r="B23" s="186">
        <v>82</v>
      </c>
      <c r="C23" s="24" t="s">
        <v>188</v>
      </c>
    </row>
    <row r="24" spans="2:3">
      <c r="B24" s="186">
        <v>85</v>
      </c>
      <c r="C24" s="24" t="s">
        <v>189</v>
      </c>
    </row>
    <row r="25" spans="2:3">
      <c r="B25" s="186">
        <v>86</v>
      </c>
      <c r="C25" s="24" t="s">
        <v>190</v>
      </c>
    </row>
    <row r="26" spans="2:3">
      <c r="B26" s="186">
        <v>87</v>
      </c>
      <c r="C26" s="24" t="s">
        <v>191</v>
      </c>
    </row>
    <row r="27" spans="2:3">
      <c r="B27" s="186">
        <v>90</v>
      </c>
      <c r="C27" s="24" t="s">
        <v>192</v>
      </c>
    </row>
    <row r="28" spans="2:3">
      <c r="B28" s="186">
        <v>94</v>
      </c>
      <c r="C28" s="24" t="s">
        <v>193</v>
      </c>
    </row>
    <row r="29" spans="2:3">
      <c r="B29" s="186">
        <v>95</v>
      </c>
      <c r="C29" s="24" t="s">
        <v>339</v>
      </c>
    </row>
    <row r="30" spans="2:3">
      <c r="B30" s="186">
        <v>109</v>
      </c>
      <c r="C30" s="24" t="s">
        <v>340</v>
      </c>
    </row>
    <row r="31" spans="2:3">
      <c r="B31" s="186">
        <v>114</v>
      </c>
      <c r="C31" s="24" t="s">
        <v>341</v>
      </c>
    </row>
    <row r="32" spans="2:3">
      <c r="B32" s="186">
        <v>123</v>
      </c>
      <c r="C32" s="24" t="s">
        <v>194</v>
      </c>
    </row>
    <row r="33" spans="2:3">
      <c r="B33" s="186">
        <v>129</v>
      </c>
      <c r="C33" s="24" t="s">
        <v>342</v>
      </c>
    </row>
    <row r="34" spans="2:3">
      <c r="B34" s="186">
        <v>148</v>
      </c>
      <c r="C34" s="24" t="s">
        <v>343</v>
      </c>
    </row>
    <row r="35" spans="2:3">
      <c r="B35" s="186">
        <v>158</v>
      </c>
      <c r="C35" s="24" t="s">
        <v>195</v>
      </c>
    </row>
    <row r="36" spans="2:3">
      <c r="B36" s="186">
        <v>331</v>
      </c>
      <c r="C36" s="24" t="s">
        <v>196</v>
      </c>
    </row>
    <row r="37" spans="2:3">
      <c r="B37" s="186">
        <v>359</v>
      </c>
      <c r="C37" s="24" t="s">
        <v>197</v>
      </c>
    </row>
    <row r="38" spans="2:3">
      <c r="B38" s="186">
        <v>381</v>
      </c>
      <c r="C38" s="24" t="s">
        <v>344</v>
      </c>
    </row>
    <row r="39" spans="2:3">
      <c r="B39" s="186">
        <v>389</v>
      </c>
      <c r="C39" s="24" t="s">
        <v>198</v>
      </c>
    </row>
    <row r="40" spans="2:3">
      <c r="B40" s="186">
        <v>420</v>
      </c>
      <c r="C40" s="24" t="s">
        <v>199</v>
      </c>
    </row>
    <row r="41" spans="2:3">
      <c r="B41" s="186">
        <v>426</v>
      </c>
      <c r="C41" s="24" t="s">
        <v>200</v>
      </c>
    </row>
    <row r="42" spans="2:3">
      <c r="B42" s="186">
        <v>429</v>
      </c>
      <c r="C42" s="24" t="s">
        <v>345</v>
      </c>
    </row>
    <row r="43" spans="2:3">
      <c r="B43" s="186">
        <v>441</v>
      </c>
      <c r="C43" s="24" t="s">
        <v>201</v>
      </c>
    </row>
    <row r="44" spans="2:3">
      <c r="B44" s="186">
        <v>442</v>
      </c>
      <c r="C44" s="24" t="s">
        <v>346</v>
      </c>
    </row>
    <row r="45" spans="2:3">
      <c r="B45" s="186">
        <v>475</v>
      </c>
      <c r="C45" s="24" t="s">
        <v>202</v>
      </c>
    </row>
    <row r="46" spans="2:3">
      <c r="B46" s="186">
        <v>492</v>
      </c>
      <c r="C46" s="24" t="s">
        <v>203</v>
      </c>
    </row>
    <row r="47" spans="2:3">
      <c r="B47" s="186">
        <v>504</v>
      </c>
      <c r="C47" s="24" t="s">
        <v>347</v>
      </c>
    </row>
    <row r="48" spans="2:3">
      <c r="B48" s="186">
        <v>538</v>
      </c>
      <c r="C48" s="24" t="s">
        <v>204</v>
      </c>
    </row>
    <row r="49" spans="2:3">
      <c r="B49" s="186">
        <v>553</v>
      </c>
      <c r="C49" s="24" t="s">
        <v>205</v>
      </c>
    </row>
    <row r="50" spans="2:3">
      <c r="B50" s="186">
        <v>555</v>
      </c>
      <c r="C50" s="24" t="s">
        <v>206</v>
      </c>
    </row>
    <row r="51" spans="2:3">
      <c r="B51" s="186">
        <v>562</v>
      </c>
      <c r="C51" s="24" t="s">
        <v>348</v>
      </c>
    </row>
    <row r="52" spans="2:3">
      <c r="B52" s="186">
        <v>582</v>
      </c>
      <c r="C52" s="24" t="s">
        <v>349</v>
      </c>
    </row>
    <row r="53" spans="2:3">
      <c r="B53" s="186">
        <v>584</v>
      </c>
      <c r="C53" s="24" t="s">
        <v>350</v>
      </c>
    </row>
    <row r="54" spans="2:3">
      <c r="B54" s="186">
        <v>591</v>
      </c>
      <c r="C54" s="24" t="s">
        <v>351</v>
      </c>
    </row>
    <row r="55" spans="2:3">
      <c r="B55" s="186">
        <v>592</v>
      </c>
      <c r="C55" s="24" t="s">
        <v>207</v>
      </c>
    </row>
    <row r="56" spans="2:3">
      <c r="B56" s="186">
        <v>593</v>
      </c>
      <c r="C56" s="24" t="s">
        <v>352</v>
      </c>
    </row>
    <row r="57" spans="2:3">
      <c r="B57" s="186">
        <v>600</v>
      </c>
      <c r="C57" s="24" t="s">
        <v>353</v>
      </c>
    </row>
    <row r="58" spans="2:3">
      <c r="B58" s="186">
        <v>609</v>
      </c>
      <c r="C58" s="24" t="s">
        <v>354</v>
      </c>
    </row>
    <row r="59" spans="2:3">
      <c r="B59" s="186">
        <v>612</v>
      </c>
      <c r="C59" s="24" t="s">
        <v>355</v>
      </c>
    </row>
    <row r="60" spans="2:3">
      <c r="B60" s="186">
        <v>623</v>
      </c>
      <c r="C60" s="24" t="s">
        <v>356</v>
      </c>
    </row>
    <row r="61" spans="2:3">
      <c r="B61" s="186">
        <v>631</v>
      </c>
      <c r="C61" s="24" t="s">
        <v>208</v>
      </c>
    </row>
    <row r="62" spans="2:3">
      <c r="B62" s="186">
        <v>632</v>
      </c>
      <c r="C62" s="24" t="s">
        <v>357</v>
      </c>
    </row>
    <row r="63" spans="2:3">
      <c r="B63" s="186">
        <v>639</v>
      </c>
      <c r="C63" s="24" t="s">
        <v>358</v>
      </c>
    </row>
    <row r="64" spans="2:3">
      <c r="B64" s="186">
        <v>642</v>
      </c>
      <c r="C64" s="24" t="s">
        <v>209</v>
      </c>
    </row>
    <row r="65" spans="2:3">
      <c r="B65" s="186">
        <v>650</v>
      </c>
      <c r="C65" s="24" t="s">
        <v>359</v>
      </c>
    </row>
    <row r="66" spans="2:3">
      <c r="B66" s="186">
        <v>661</v>
      </c>
      <c r="C66" s="24" t="s">
        <v>360</v>
      </c>
    </row>
    <row r="67" spans="2:3">
      <c r="B67" s="186">
        <v>664</v>
      </c>
      <c r="C67" s="24" t="s">
        <v>361</v>
      </c>
    </row>
    <row r="68" spans="2:3">
      <c r="B68" s="186">
        <v>668</v>
      </c>
      <c r="C68" s="24" t="s">
        <v>210</v>
      </c>
    </row>
    <row r="69" spans="2:3">
      <c r="B69" s="186">
        <v>682</v>
      </c>
      <c r="C69" s="24" t="s">
        <v>362</v>
      </c>
    </row>
    <row r="70" spans="2:3">
      <c r="B70" s="186">
        <v>685</v>
      </c>
      <c r="C70" s="24" t="s">
        <v>211</v>
      </c>
    </row>
    <row r="71" spans="2:3">
      <c r="B71" s="186">
        <v>690</v>
      </c>
      <c r="C71" s="24" t="s">
        <v>212</v>
      </c>
    </row>
    <row r="72" spans="2:3">
      <c r="B72" s="186">
        <v>692</v>
      </c>
      <c r="C72" s="24" t="s">
        <v>213</v>
      </c>
    </row>
    <row r="73" spans="2:3">
      <c r="B73" s="186">
        <v>696</v>
      </c>
      <c r="C73" s="24" t="s">
        <v>363</v>
      </c>
    </row>
    <row r="74" spans="2:3">
      <c r="B74" s="186">
        <v>700</v>
      </c>
      <c r="C74" s="24" t="s">
        <v>364</v>
      </c>
    </row>
    <row r="75" spans="2:3">
      <c r="B75" s="186">
        <v>701</v>
      </c>
      <c r="C75" s="24" t="s">
        <v>365</v>
      </c>
    </row>
    <row r="76" spans="2:3">
      <c r="B76" s="186">
        <v>720</v>
      </c>
      <c r="C76" s="24" t="s">
        <v>366</v>
      </c>
    </row>
    <row r="77" spans="2:3">
      <c r="B77" s="186">
        <v>721</v>
      </c>
      <c r="C77" s="24" t="s">
        <v>367</v>
      </c>
    </row>
    <row r="78" spans="2:3">
      <c r="B78" s="186">
        <v>724</v>
      </c>
      <c r="C78" s="24" t="s">
        <v>368</v>
      </c>
    </row>
    <row r="79" spans="2:3">
      <c r="B79" s="186">
        <v>757</v>
      </c>
      <c r="C79" s="24" t="s">
        <v>369</v>
      </c>
    </row>
    <row r="80" spans="2:3">
      <c r="B80" s="186">
        <v>763</v>
      </c>
      <c r="C80" s="24" t="s">
        <v>370</v>
      </c>
    </row>
    <row r="81" spans="2:3">
      <c r="B81" s="186">
        <v>773</v>
      </c>
      <c r="C81" s="24" t="s">
        <v>371</v>
      </c>
    </row>
    <row r="82" spans="2:3">
      <c r="B82" s="186">
        <v>775</v>
      </c>
      <c r="C82" s="24" t="s">
        <v>372</v>
      </c>
    </row>
    <row r="83" spans="2:3">
      <c r="B83" s="186">
        <v>777</v>
      </c>
      <c r="C83" s="24" t="s">
        <v>373</v>
      </c>
    </row>
    <row r="84" spans="2:3">
      <c r="B84" s="186">
        <v>778</v>
      </c>
      <c r="C84" s="24" t="s">
        <v>374</v>
      </c>
    </row>
    <row r="85" spans="2:3">
      <c r="B85" s="186">
        <v>788</v>
      </c>
      <c r="C85" s="24" t="s">
        <v>214</v>
      </c>
    </row>
    <row r="86" spans="2:3">
      <c r="B86" s="186">
        <v>789</v>
      </c>
      <c r="C86" s="24" t="s">
        <v>375</v>
      </c>
    </row>
    <row r="87" spans="2:3">
      <c r="B87" s="186">
        <v>826</v>
      </c>
      <c r="C87" s="24" t="s">
        <v>376</v>
      </c>
    </row>
    <row r="88" spans="2:3">
      <c r="B88" s="186">
        <v>841</v>
      </c>
      <c r="C88" s="24" t="s">
        <v>377</v>
      </c>
    </row>
    <row r="89" spans="2:3">
      <c r="B89" s="186">
        <v>844</v>
      </c>
      <c r="C89" s="24" t="s">
        <v>378</v>
      </c>
    </row>
    <row r="90" spans="2:3">
      <c r="B90" s="186">
        <v>847</v>
      </c>
      <c r="C90" s="24" t="s">
        <v>379</v>
      </c>
    </row>
    <row r="91" spans="2:3">
      <c r="B91" s="186">
        <v>848</v>
      </c>
      <c r="C91" s="24" t="s">
        <v>380</v>
      </c>
    </row>
    <row r="92" spans="2:3">
      <c r="B92" s="186">
        <v>860</v>
      </c>
      <c r="C92" s="24" t="s">
        <v>381</v>
      </c>
    </row>
    <row r="93" spans="2:3">
      <c r="B93" s="186">
        <v>868</v>
      </c>
      <c r="C93" s="24" t="s">
        <v>177</v>
      </c>
    </row>
    <row r="94" spans="2:3">
      <c r="B94" s="186">
        <v>881</v>
      </c>
      <c r="C94" s="24" t="s">
        <v>215</v>
      </c>
    </row>
    <row r="95" spans="2:3">
      <c r="B95" s="186">
        <v>883</v>
      </c>
      <c r="C95" s="24" t="s">
        <v>382</v>
      </c>
    </row>
    <row r="96" spans="2:3">
      <c r="B96" s="186">
        <v>884</v>
      </c>
      <c r="C96" s="24" t="s">
        <v>383</v>
      </c>
    </row>
    <row r="97" spans="2:3">
      <c r="B97" s="186">
        <v>888</v>
      </c>
      <c r="C97" s="24" t="s">
        <v>384</v>
      </c>
    </row>
    <row r="98" spans="2:3">
      <c r="B98" s="186">
        <v>895</v>
      </c>
      <c r="C98" s="24" t="s">
        <v>385</v>
      </c>
    </row>
    <row r="99" spans="2:3">
      <c r="B99" s="186">
        <v>897</v>
      </c>
      <c r="C99" s="24" t="s">
        <v>386</v>
      </c>
    </row>
    <row r="100" spans="2:3">
      <c r="B100" s="186">
        <v>904</v>
      </c>
      <c r="C100" s="24" t="s">
        <v>387</v>
      </c>
    </row>
    <row r="101" spans="2:3">
      <c r="B101" s="186">
        <v>909</v>
      </c>
      <c r="C101" s="24" t="s">
        <v>388</v>
      </c>
    </row>
    <row r="102" spans="2:3">
      <c r="B102" s="186">
        <v>914</v>
      </c>
      <c r="C102" s="24" t="s">
        <v>389</v>
      </c>
    </row>
    <row r="103" spans="2:3">
      <c r="B103" s="186">
        <v>920</v>
      </c>
      <c r="C103" s="24" t="s">
        <v>216</v>
      </c>
    </row>
    <row r="104" spans="2:3">
      <c r="B104" s="186">
        <v>928</v>
      </c>
      <c r="C104" s="24" t="s">
        <v>390</v>
      </c>
    </row>
    <row r="105" spans="2:3">
      <c r="B105" s="186">
        <v>937</v>
      </c>
      <c r="C105" s="24" t="s">
        <v>391</v>
      </c>
    </row>
    <row r="106" spans="2:3">
      <c r="B106" s="186">
        <v>942</v>
      </c>
      <c r="C106" s="24" t="s">
        <v>217</v>
      </c>
    </row>
    <row r="107" spans="2:3">
      <c r="B107" s="186">
        <v>945</v>
      </c>
      <c r="C107" s="24" t="s">
        <v>218</v>
      </c>
    </row>
    <row r="108" spans="2:3">
      <c r="B108" s="186">
        <v>946</v>
      </c>
      <c r="C108" s="24" t="s">
        <v>219</v>
      </c>
    </row>
    <row r="109" spans="2:3">
      <c r="B109" s="186">
        <v>964</v>
      </c>
      <c r="C109" s="24" t="s">
        <v>392</v>
      </c>
    </row>
    <row r="110" spans="2:3">
      <c r="B110" s="186">
        <v>966</v>
      </c>
      <c r="C110" s="24" t="s">
        <v>220</v>
      </c>
    </row>
    <row r="111" spans="2:3">
      <c r="B111" s="186">
        <v>967</v>
      </c>
      <c r="C111" s="24" t="s">
        <v>221</v>
      </c>
    </row>
    <row r="112" spans="2:3">
      <c r="B112" s="186">
        <v>971</v>
      </c>
      <c r="C112" s="24" t="s">
        <v>393</v>
      </c>
    </row>
    <row r="113" spans="2:3">
      <c r="B113" s="186">
        <v>981</v>
      </c>
      <c r="C113" s="24" t="s">
        <v>394</v>
      </c>
    </row>
    <row r="114" spans="2:3">
      <c r="B114" s="186">
        <v>988</v>
      </c>
      <c r="C114" s="24" t="s">
        <v>395</v>
      </c>
    </row>
    <row r="115" spans="2:3">
      <c r="B115" s="186">
        <v>999</v>
      </c>
      <c r="C115" s="24" t="s">
        <v>222</v>
      </c>
    </row>
    <row r="116" spans="2:3">
      <c r="B116" s="186">
        <v>1004</v>
      </c>
      <c r="C116" s="24" t="s">
        <v>223</v>
      </c>
    </row>
    <row r="117" spans="2:3">
      <c r="B117" s="186">
        <v>1009</v>
      </c>
      <c r="C117" s="24" t="s">
        <v>224</v>
      </c>
    </row>
    <row r="118" spans="2:3">
      <c r="B118" s="186">
        <v>1010</v>
      </c>
      <c r="C118" s="24" t="s">
        <v>396</v>
      </c>
    </row>
    <row r="119" spans="2:3">
      <c r="B119" s="186">
        <v>1016</v>
      </c>
      <c r="C119" s="24" t="s">
        <v>225</v>
      </c>
    </row>
    <row r="120" spans="2:3">
      <c r="B120" s="186">
        <v>1018</v>
      </c>
      <c r="C120" s="24" t="s">
        <v>226</v>
      </c>
    </row>
    <row r="121" spans="2:3">
      <c r="B121" s="186">
        <v>1029</v>
      </c>
      <c r="C121" s="24" t="s">
        <v>397</v>
      </c>
    </row>
    <row r="122" spans="2:3">
      <c r="B122" s="186">
        <v>1065</v>
      </c>
      <c r="C122" s="24" t="s">
        <v>398</v>
      </c>
    </row>
    <row r="123" spans="2:3">
      <c r="B123" s="186">
        <v>1071</v>
      </c>
      <c r="C123" s="24" t="s">
        <v>399</v>
      </c>
    </row>
    <row r="124" spans="2:3">
      <c r="B124" s="186">
        <v>1078</v>
      </c>
      <c r="C124" s="24" t="s">
        <v>227</v>
      </c>
    </row>
    <row r="125" spans="2:3">
      <c r="B125" s="186">
        <v>1080</v>
      </c>
      <c r="C125" s="24" t="s">
        <v>400</v>
      </c>
    </row>
    <row r="126" spans="2:3">
      <c r="B126" s="186">
        <v>1083</v>
      </c>
      <c r="C126" s="24" t="s">
        <v>401</v>
      </c>
    </row>
    <row r="127" spans="2:3">
      <c r="B127" s="186">
        <v>1092</v>
      </c>
      <c r="C127" s="24" t="s">
        <v>402</v>
      </c>
    </row>
    <row r="128" spans="2:3">
      <c r="B128" s="186">
        <v>1096</v>
      </c>
      <c r="C128" s="24" t="s">
        <v>403</v>
      </c>
    </row>
    <row r="129" spans="2:3">
      <c r="B129" s="186">
        <v>1097</v>
      </c>
      <c r="C129" s="24" t="s">
        <v>404</v>
      </c>
    </row>
    <row r="130" spans="2:3">
      <c r="B130" s="186">
        <v>1098</v>
      </c>
      <c r="C130" s="24" t="s">
        <v>228</v>
      </c>
    </row>
    <row r="131" spans="2:3">
      <c r="B131" s="186">
        <v>1099</v>
      </c>
      <c r="C131" s="24" t="s">
        <v>405</v>
      </c>
    </row>
    <row r="132" spans="2:3">
      <c r="B132" s="186">
        <v>1100</v>
      </c>
      <c r="C132" s="24" t="s">
        <v>229</v>
      </c>
    </row>
    <row r="133" spans="2:3">
      <c r="B133" s="186">
        <v>1105</v>
      </c>
      <c r="C133" s="24" t="s">
        <v>406</v>
      </c>
    </row>
    <row r="134" spans="2:3">
      <c r="B134" s="186">
        <v>1145</v>
      </c>
      <c r="C134" s="24" t="s">
        <v>407</v>
      </c>
    </row>
    <row r="135" spans="2:3">
      <c r="B135" s="186">
        <v>1151</v>
      </c>
      <c r="C135" s="24" t="s">
        <v>230</v>
      </c>
    </row>
    <row r="136" spans="2:3">
      <c r="B136" s="186">
        <v>1164</v>
      </c>
      <c r="C136" s="24" t="s">
        <v>231</v>
      </c>
    </row>
    <row r="137" spans="2:3">
      <c r="B137" s="186">
        <v>1167</v>
      </c>
      <c r="C137" s="24" t="s">
        <v>232</v>
      </c>
    </row>
    <row r="138" spans="2:3">
      <c r="B138" s="186">
        <v>1170</v>
      </c>
      <c r="C138" s="24" t="s">
        <v>408</v>
      </c>
    </row>
    <row r="139" spans="2:3">
      <c r="B139" s="186">
        <v>1173</v>
      </c>
      <c r="C139" s="24" t="s">
        <v>233</v>
      </c>
    </row>
    <row r="140" spans="2:3">
      <c r="B140" s="186">
        <v>1176</v>
      </c>
      <c r="C140" s="24" t="s">
        <v>409</v>
      </c>
    </row>
    <row r="141" spans="2:3">
      <c r="B141" s="186">
        <v>1181</v>
      </c>
      <c r="C141" s="24" t="s">
        <v>234</v>
      </c>
    </row>
    <row r="142" spans="2:3">
      <c r="B142" s="186">
        <v>1182</v>
      </c>
      <c r="C142" s="24" t="s">
        <v>235</v>
      </c>
    </row>
    <row r="143" spans="2:3">
      <c r="B143" s="186">
        <v>1186</v>
      </c>
      <c r="C143" s="24" t="s">
        <v>236</v>
      </c>
    </row>
    <row r="144" spans="2:3">
      <c r="B144" s="186">
        <v>1187</v>
      </c>
      <c r="C144" s="24" t="s">
        <v>410</v>
      </c>
    </row>
    <row r="145" spans="2:3">
      <c r="B145" s="186">
        <v>1196</v>
      </c>
      <c r="C145" s="24" t="s">
        <v>411</v>
      </c>
    </row>
    <row r="146" spans="2:3">
      <c r="B146" s="186">
        <v>1200</v>
      </c>
      <c r="C146" s="24" t="s">
        <v>237</v>
      </c>
    </row>
    <row r="147" spans="2:3">
      <c r="B147" s="186">
        <v>1212</v>
      </c>
      <c r="C147" s="24" t="s">
        <v>238</v>
      </c>
    </row>
    <row r="148" spans="2:3">
      <c r="B148" s="186">
        <v>1213</v>
      </c>
      <c r="C148" s="24" t="s">
        <v>412</v>
      </c>
    </row>
    <row r="149" spans="2:3">
      <c r="B149" s="186">
        <v>1215</v>
      </c>
      <c r="C149" s="24" t="s">
        <v>239</v>
      </c>
    </row>
    <row r="150" spans="2:3">
      <c r="B150" s="186">
        <v>1219</v>
      </c>
      <c r="C150" s="24" t="s">
        <v>413</v>
      </c>
    </row>
    <row r="151" spans="2:3">
      <c r="B151" s="186">
        <v>1222</v>
      </c>
      <c r="C151" s="24" t="s">
        <v>240</v>
      </c>
    </row>
    <row r="152" spans="2:3">
      <c r="B152" s="186">
        <v>1230</v>
      </c>
      <c r="C152" s="24" t="s">
        <v>414</v>
      </c>
    </row>
    <row r="153" spans="2:3">
      <c r="B153" s="186">
        <v>1240</v>
      </c>
      <c r="C153" s="24" t="s">
        <v>415</v>
      </c>
    </row>
    <row r="154" spans="2:3">
      <c r="B154" s="186">
        <v>1243</v>
      </c>
      <c r="C154" s="24" t="s">
        <v>416</v>
      </c>
    </row>
    <row r="155" spans="2:3">
      <c r="B155" s="186">
        <v>1244</v>
      </c>
      <c r="C155" s="24" t="s">
        <v>241</v>
      </c>
    </row>
    <row r="156" spans="2:3">
      <c r="B156" s="186">
        <v>1245</v>
      </c>
      <c r="C156" s="24" t="s">
        <v>417</v>
      </c>
    </row>
    <row r="157" spans="2:3">
      <c r="B157" s="186">
        <v>1246</v>
      </c>
      <c r="C157" s="24" t="s">
        <v>242</v>
      </c>
    </row>
    <row r="158" spans="2:3">
      <c r="B158" s="186">
        <v>1253</v>
      </c>
      <c r="C158" s="24" t="s">
        <v>243</v>
      </c>
    </row>
    <row r="159" spans="2:3">
      <c r="B159" s="186">
        <v>1264</v>
      </c>
      <c r="C159" s="24" t="s">
        <v>244</v>
      </c>
    </row>
    <row r="160" spans="2:3">
      <c r="B160" s="186">
        <v>1281</v>
      </c>
      <c r="C160" s="24" t="s">
        <v>245</v>
      </c>
    </row>
    <row r="161" spans="2:3">
      <c r="B161" s="186">
        <v>1286</v>
      </c>
      <c r="C161" s="24" t="s">
        <v>246</v>
      </c>
    </row>
    <row r="162" spans="2:3">
      <c r="B162" s="186">
        <v>1288</v>
      </c>
      <c r="C162" s="24" t="s">
        <v>418</v>
      </c>
    </row>
    <row r="163" spans="2:3">
      <c r="B163" s="186">
        <v>1293</v>
      </c>
      <c r="C163" s="24" t="s">
        <v>419</v>
      </c>
    </row>
    <row r="164" spans="2:3">
      <c r="B164" s="186">
        <v>1295</v>
      </c>
      <c r="C164" s="24" t="s">
        <v>420</v>
      </c>
    </row>
    <row r="165" spans="2:3">
      <c r="B165" s="186">
        <v>1298</v>
      </c>
      <c r="C165" s="24" t="s">
        <v>421</v>
      </c>
    </row>
    <row r="166" spans="2:3">
      <c r="B166" s="186">
        <v>1302</v>
      </c>
      <c r="C166" s="24" t="s">
        <v>247</v>
      </c>
    </row>
    <row r="167" spans="2:3">
      <c r="B167" s="186">
        <v>1307</v>
      </c>
      <c r="C167" s="24" t="s">
        <v>422</v>
      </c>
    </row>
    <row r="168" spans="2:3">
      <c r="B168" s="186">
        <v>1308</v>
      </c>
      <c r="C168" s="24" t="s">
        <v>248</v>
      </c>
    </row>
    <row r="169" spans="2:3">
      <c r="B169" s="186">
        <v>1310</v>
      </c>
      <c r="C169" s="24" t="s">
        <v>423</v>
      </c>
    </row>
    <row r="170" spans="2:3">
      <c r="B170" s="186">
        <v>1314</v>
      </c>
      <c r="C170" s="24" t="s">
        <v>424</v>
      </c>
    </row>
    <row r="171" spans="2:3">
      <c r="B171" s="186">
        <v>1316</v>
      </c>
      <c r="C171" s="24" t="s">
        <v>425</v>
      </c>
    </row>
    <row r="172" spans="2:3">
      <c r="B172" s="186">
        <v>1324</v>
      </c>
      <c r="C172" s="24" t="s">
        <v>426</v>
      </c>
    </row>
    <row r="173" spans="2:3">
      <c r="B173" s="186">
        <v>1325</v>
      </c>
      <c r="C173" s="24" t="s">
        <v>427</v>
      </c>
    </row>
    <row r="174" spans="2:3">
      <c r="B174" s="186">
        <v>1332</v>
      </c>
      <c r="C174" s="24" t="s">
        <v>428</v>
      </c>
    </row>
    <row r="175" spans="2:3">
      <c r="B175" s="186">
        <v>1333</v>
      </c>
      <c r="C175" s="24" t="s">
        <v>429</v>
      </c>
    </row>
    <row r="176" spans="2:3">
      <c r="B176" s="186">
        <v>1335</v>
      </c>
      <c r="C176" s="24" t="s">
        <v>249</v>
      </c>
    </row>
    <row r="177" spans="2:3">
      <c r="B177" s="186">
        <v>1340</v>
      </c>
      <c r="C177" s="24" t="s">
        <v>250</v>
      </c>
    </row>
    <row r="178" spans="2:3">
      <c r="B178" s="186">
        <v>1341</v>
      </c>
      <c r="C178" s="24" t="s">
        <v>251</v>
      </c>
    </row>
    <row r="179" spans="2:3">
      <c r="B179" s="186">
        <v>1342</v>
      </c>
      <c r="C179" s="24" t="s">
        <v>252</v>
      </c>
    </row>
    <row r="180" spans="2:3">
      <c r="B180" s="186">
        <v>1345</v>
      </c>
      <c r="C180" s="24" t="s">
        <v>253</v>
      </c>
    </row>
    <row r="181" spans="2:3">
      <c r="B181" s="186">
        <v>1355</v>
      </c>
      <c r="C181" s="24" t="s">
        <v>430</v>
      </c>
    </row>
    <row r="182" spans="2:3">
      <c r="B182" s="186">
        <v>1362</v>
      </c>
      <c r="C182" s="24" t="s">
        <v>431</v>
      </c>
    </row>
    <row r="183" spans="2:3">
      <c r="B183" s="186">
        <v>1372</v>
      </c>
      <c r="C183" s="24" t="s">
        <v>432</v>
      </c>
    </row>
    <row r="184" spans="2:3">
      <c r="B184" s="186">
        <v>1411</v>
      </c>
      <c r="C184" s="24" t="s">
        <v>433</v>
      </c>
    </row>
    <row r="185" spans="2:3">
      <c r="B185" s="186">
        <v>1412</v>
      </c>
      <c r="C185" s="24" t="s">
        <v>434</v>
      </c>
    </row>
    <row r="186" spans="2:3">
      <c r="B186" s="186">
        <v>1417</v>
      </c>
      <c r="C186" s="24" t="s">
        <v>254</v>
      </c>
    </row>
    <row r="187" spans="2:3">
      <c r="B187" s="186">
        <v>1418</v>
      </c>
      <c r="C187" s="24" t="s">
        <v>255</v>
      </c>
    </row>
    <row r="188" spans="2:3">
      <c r="B188" s="186">
        <v>1419</v>
      </c>
      <c r="C188" s="24" t="s">
        <v>256</v>
      </c>
    </row>
    <row r="189" spans="2:3">
      <c r="B189" s="186">
        <v>1425</v>
      </c>
      <c r="C189" s="24" t="s">
        <v>257</v>
      </c>
    </row>
    <row r="190" spans="2:3">
      <c r="B190" s="186">
        <v>1428</v>
      </c>
      <c r="C190" s="24" t="s">
        <v>258</v>
      </c>
    </row>
    <row r="191" spans="2:3">
      <c r="B191" s="186">
        <v>1429</v>
      </c>
      <c r="C191" s="24" t="s">
        <v>435</v>
      </c>
    </row>
    <row r="192" spans="2:3">
      <c r="B192" s="186">
        <v>1431</v>
      </c>
      <c r="C192" s="24" t="s">
        <v>436</v>
      </c>
    </row>
    <row r="193" spans="2:3">
      <c r="B193" s="186">
        <v>1432</v>
      </c>
      <c r="C193" s="24" t="s">
        <v>437</v>
      </c>
    </row>
    <row r="194" spans="2:3">
      <c r="B194" s="186">
        <v>1438</v>
      </c>
      <c r="C194" s="24" t="s">
        <v>259</v>
      </c>
    </row>
    <row r="195" spans="2:3">
      <c r="B195" s="186">
        <v>1439</v>
      </c>
      <c r="C195" s="24" t="s">
        <v>260</v>
      </c>
    </row>
    <row r="196" spans="2:3">
      <c r="B196" s="186">
        <v>1448</v>
      </c>
      <c r="C196" s="24" t="s">
        <v>438</v>
      </c>
    </row>
    <row r="197" spans="2:3">
      <c r="B197" s="186">
        <v>1451</v>
      </c>
      <c r="C197" s="24" t="s">
        <v>261</v>
      </c>
    </row>
    <row r="198" spans="2:3">
      <c r="B198" s="186">
        <v>1455</v>
      </c>
      <c r="C198" s="24" t="s">
        <v>262</v>
      </c>
    </row>
    <row r="199" spans="2:3">
      <c r="B199" s="186">
        <v>1464</v>
      </c>
      <c r="C199" s="24" t="s">
        <v>439</v>
      </c>
    </row>
    <row r="200" spans="2:3">
      <c r="B200" s="186">
        <v>1465</v>
      </c>
      <c r="C200" s="24" t="s">
        <v>263</v>
      </c>
    </row>
    <row r="201" spans="2:3">
      <c r="B201" s="186">
        <v>1491</v>
      </c>
      <c r="C201" s="24" t="s">
        <v>440</v>
      </c>
    </row>
    <row r="202" spans="2:3">
      <c r="B202" s="186">
        <v>1495</v>
      </c>
      <c r="C202" s="24" t="s">
        <v>441</v>
      </c>
    </row>
    <row r="203" spans="2:3">
      <c r="B203" s="186">
        <v>1496</v>
      </c>
      <c r="C203" s="24" t="s">
        <v>442</v>
      </c>
    </row>
    <row r="204" spans="2:3">
      <c r="B204" s="186">
        <v>1498</v>
      </c>
      <c r="C204" s="24" t="s">
        <v>443</v>
      </c>
    </row>
    <row r="205" spans="2:3">
      <c r="B205" s="186">
        <v>1501</v>
      </c>
      <c r="C205" s="24" t="s">
        <v>444</v>
      </c>
    </row>
    <row r="206" spans="2:3">
      <c r="B206" s="186">
        <v>1503</v>
      </c>
      <c r="C206" s="24" t="s">
        <v>445</v>
      </c>
    </row>
    <row r="207" spans="2:3">
      <c r="B207" s="186">
        <v>1508</v>
      </c>
      <c r="C207" s="24" t="s">
        <v>446</v>
      </c>
    </row>
    <row r="208" spans="2:3">
      <c r="B208" s="186">
        <v>1518</v>
      </c>
      <c r="C208" s="24" t="s">
        <v>264</v>
      </c>
    </row>
    <row r="209" spans="2:3">
      <c r="B209" s="186">
        <v>1521</v>
      </c>
      <c r="C209" s="24" t="s">
        <v>265</v>
      </c>
    </row>
    <row r="210" spans="2:3">
      <c r="B210" s="186">
        <v>1536</v>
      </c>
      <c r="C210" s="24" t="s">
        <v>266</v>
      </c>
    </row>
    <row r="211" spans="2:3">
      <c r="B211" s="186">
        <v>1537</v>
      </c>
      <c r="C211" s="24" t="s">
        <v>447</v>
      </c>
    </row>
    <row r="212" spans="2:3">
      <c r="B212" s="186">
        <v>1539</v>
      </c>
      <c r="C212" s="24" t="s">
        <v>448</v>
      </c>
    </row>
    <row r="213" spans="2:3">
      <c r="B213" s="186">
        <v>1543</v>
      </c>
      <c r="C213" s="24" t="s">
        <v>267</v>
      </c>
    </row>
    <row r="214" spans="2:3">
      <c r="B214" s="186">
        <v>1557</v>
      </c>
      <c r="C214" s="24" t="s">
        <v>268</v>
      </c>
    </row>
    <row r="215" spans="2:3">
      <c r="B215" s="186">
        <v>1563</v>
      </c>
      <c r="C215" s="24" t="s">
        <v>449</v>
      </c>
    </row>
    <row r="216" spans="2:3">
      <c r="B216" s="186">
        <v>1566</v>
      </c>
      <c r="C216" s="24" t="s">
        <v>450</v>
      </c>
    </row>
    <row r="217" spans="2:3">
      <c r="B217" s="186">
        <v>1570</v>
      </c>
      <c r="C217" s="24" t="s">
        <v>451</v>
      </c>
    </row>
    <row r="218" spans="2:3">
      <c r="B218" s="186">
        <v>1571</v>
      </c>
      <c r="C218" s="24" t="s">
        <v>269</v>
      </c>
    </row>
    <row r="219" spans="2:3">
      <c r="B219" s="186">
        <v>1572</v>
      </c>
      <c r="C219" s="24" t="s">
        <v>452</v>
      </c>
    </row>
    <row r="220" spans="2:3">
      <c r="B220" s="186">
        <v>1574</v>
      </c>
      <c r="C220" s="24" t="s">
        <v>453</v>
      </c>
    </row>
    <row r="221" spans="2:3">
      <c r="B221" s="186">
        <v>1576</v>
      </c>
      <c r="C221" s="24" t="s">
        <v>270</v>
      </c>
    </row>
    <row r="222" spans="2:3">
      <c r="B222" s="186">
        <v>1578</v>
      </c>
      <c r="C222" s="24" t="s">
        <v>271</v>
      </c>
    </row>
    <row r="223" spans="2:3">
      <c r="B223" s="186">
        <v>1579</v>
      </c>
      <c r="C223" s="24" t="s">
        <v>454</v>
      </c>
    </row>
    <row r="224" spans="2:3">
      <c r="B224" s="186">
        <v>1582</v>
      </c>
      <c r="C224" s="24" t="s">
        <v>455</v>
      </c>
    </row>
    <row r="225" spans="2:3">
      <c r="B225" s="186">
        <v>1584</v>
      </c>
      <c r="C225" s="24" t="s">
        <v>456</v>
      </c>
    </row>
    <row r="226" spans="2:3">
      <c r="B226" s="186">
        <v>1585</v>
      </c>
      <c r="C226" s="24" t="s">
        <v>457</v>
      </c>
    </row>
    <row r="227" spans="2:3">
      <c r="B227" s="186">
        <v>1587</v>
      </c>
      <c r="C227" s="24" t="s">
        <v>458</v>
      </c>
    </row>
    <row r="228" spans="2:3">
      <c r="B228" s="186">
        <v>1588</v>
      </c>
      <c r="C228" s="24" t="s">
        <v>272</v>
      </c>
    </row>
    <row r="229" spans="2:3">
      <c r="B229" s="186">
        <v>1593</v>
      </c>
      <c r="C229" s="24" t="s">
        <v>459</v>
      </c>
    </row>
    <row r="230" spans="2:3">
      <c r="B230" s="186">
        <v>1599</v>
      </c>
      <c r="C230" s="24" t="s">
        <v>460</v>
      </c>
    </row>
    <row r="231" spans="2:3">
      <c r="B231" s="186">
        <v>1609</v>
      </c>
      <c r="C231" s="24" t="s">
        <v>461</v>
      </c>
    </row>
    <row r="232" spans="2:3">
      <c r="B232" s="186">
        <v>1610</v>
      </c>
      <c r="C232" s="24" t="s">
        <v>462</v>
      </c>
    </row>
    <row r="233" spans="2:3">
      <c r="B233" s="186">
        <v>1613</v>
      </c>
      <c r="C233" s="24" t="s">
        <v>463</v>
      </c>
    </row>
    <row r="234" spans="2:3">
      <c r="B234" s="186">
        <v>1619</v>
      </c>
      <c r="C234" s="24" t="s">
        <v>273</v>
      </c>
    </row>
    <row r="235" spans="2:3">
      <c r="B235" s="186">
        <v>1620</v>
      </c>
      <c r="C235" s="24" t="s">
        <v>464</v>
      </c>
    </row>
    <row r="236" spans="2:3">
      <c r="B236" s="186">
        <v>1628</v>
      </c>
      <c r="C236" s="24" t="s">
        <v>465</v>
      </c>
    </row>
    <row r="237" spans="2:3">
      <c r="B237" s="186">
        <v>1629</v>
      </c>
      <c r="C237" s="24" t="s">
        <v>466</v>
      </c>
    </row>
    <row r="238" spans="2:3">
      <c r="B238" s="186">
        <v>1631</v>
      </c>
      <c r="C238" s="24" t="s">
        <v>467</v>
      </c>
    </row>
    <row r="239" spans="2:3">
      <c r="B239" s="186">
        <v>1632</v>
      </c>
      <c r="C239" s="24" t="s">
        <v>274</v>
      </c>
    </row>
    <row r="240" spans="2:3">
      <c r="B240" s="186">
        <v>1643</v>
      </c>
      <c r="C240" s="24" t="s">
        <v>468</v>
      </c>
    </row>
    <row r="241" spans="2:3">
      <c r="B241" s="186">
        <v>1644</v>
      </c>
      <c r="C241" s="24" t="s">
        <v>469</v>
      </c>
    </row>
    <row r="242" spans="2:3">
      <c r="B242" s="186">
        <v>1647</v>
      </c>
      <c r="C242" s="24" t="s">
        <v>275</v>
      </c>
    </row>
    <row r="243" spans="2:3">
      <c r="B243" s="186">
        <v>1648</v>
      </c>
      <c r="C243" s="24" t="s">
        <v>470</v>
      </c>
    </row>
    <row r="244" spans="2:3">
      <c r="B244" s="186">
        <v>1652</v>
      </c>
      <c r="C244" s="24" t="s">
        <v>276</v>
      </c>
    </row>
    <row r="245" spans="2:3">
      <c r="B245" s="186">
        <v>1658</v>
      </c>
      <c r="C245" s="24" t="s">
        <v>471</v>
      </c>
    </row>
    <row r="246" spans="2:3">
      <c r="B246" s="186">
        <v>1659</v>
      </c>
      <c r="C246" s="24" t="s">
        <v>472</v>
      </c>
    </row>
    <row r="247" spans="2:3">
      <c r="B247" s="186">
        <v>1667</v>
      </c>
      <c r="C247" s="24" t="s">
        <v>473</v>
      </c>
    </row>
    <row r="248" spans="2:3">
      <c r="B248" s="186">
        <v>1668</v>
      </c>
      <c r="C248" s="24" t="s">
        <v>277</v>
      </c>
    </row>
    <row r="249" spans="2:3">
      <c r="B249" s="186">
        <v>1669</v>
      </c>
      <c r="C249" s="24" t="s">
        <v>278</v>
      </c>
    </row>
    <row r="250" spans="2:3">
      <c r="B250" s="186">
        <v>1678</v>
      </c>
      <c r="C250" s="24" t="s">
        <v>279</v>
      </c>
    </row>
    <row r="251" spans="2:3">
      <c r="B251" s="186">
        <v>1681</v>
      </c>
      <c r="C251" s="24" t="s">
        <v>280</v>
      </c>
    </row>
    <row r="252" spans="2:3">
      <c r="B252" s="186">
        <v>1685</v>
      </c>
      <c r="C252" s="24" t="s">
        <v>474</v>
      </c>
    </row>
    <row r="253" spans="2:3">
      <c r="B253" s="186">
        <v>1690</v>
      </c>
      <c r="C253" s="24" t="s">
        <v>475</v>
      </c>
    </row>
    <row r="254" spans="2:3">
      <c r="B254" s="186">
        <v>1698</v>
      </c>
      <c r="C254" s="24" t="s">
        <v>476</v>
      </c>
    </row>
    <row r="255" spans="2:3">
      <c r="B255" s="186">
        <v>1702</v>
      </c>
      <c r="C255" s="24" t="s">
        <v>477</v>
      </c>
    </row>
    <row r="256" spans="2:3">
      <c r="B256" s="186">
        <v>1707</v>
      </c>
      <c r="C256" s="24" t="s">
        <v>281</v>
      </c>
    </row>
    <row r="257" spans="2:3">
      <c r="B257" s="186">
        <v>1708</v>
      </c>
      <c r="C257" s="24" t="s">
        <v>282</v>
      </c>
    </row>
    <row r="258" spans="2:3">
      <c r="B258" s="186">
        <v>1713</v>
      </c>
      <c r="C258" s="24" t="s">
        <v>478</v>
      </c>
    </row>
    <row r="259" spans="2:3">
      <c r="B259" s="186">
        <v>1717</v>
      </c>
      <c r="C259" s="24" t="s">
        <v>479</v>
      </c>
    </row>
    <row r="260" spans="2:3">
      <c r="B260" s="186">
        <v>1722</v>
      </c>
      <c r="C260" s="24" t="s">
        <v>480</v>
      </c>
    </row>
    <row r="261" spans="2:3">
      <c r="B261" s="186">
        <v>1727</v>
      </c>
      <c r="C261" s="24" t="s">
        <v>481</v>
      </c>
    </row>
    <row r="262" spans="2:3">
      <c r="B262" s="186">
        <v>1728</v>
      </c>
      <c r="C262" s="24" t="s">
        <v>283</v>
      </c>
    </row>
    <row r="263" spans="2:3">
      <c r="B263" s="186">
        <v>1732</v>
      </c>
      <c r="C263" s="24" t="s">
        <v>284</v>
      </c>
    </row>
    <row r="264" spans="2:3">
      <c r="B264" s="186">
        <v>1743</v>
      </c>
      <c r="C264" s="24" t="s">
        <v>285</v>
      </c>
    </row>
    <row r="265" spans="2:3">
      <c r="B265" s="186">
        <v>1747</v>
      </c>
      <c r="C265" s="24" t="s">
        <v>286</v>
      </c>
    </row>
    <row r="266" spans="2:3">
      <c r="B266" s="186">
        <v>1750</v>
      </c>
      <c r="C266" s="24" t="s">
        <v>287</v>
      </c>
    </row>
    <row r="267" spans="2:3">
      <c r="B267" s="186">
        <v>1752</v>
      </c>
      <c r="C267" s="24" t="s">
        <v>482</v>
      </c>
    </row>
    <row r="268" spans="2:3">
      <c r="B268" s="186">
        <v>1754</v>
      </c>
      <c r="C268" s="24" t="s">
        <v>483</v>
      </c>
    </row>
    <row r="269" spans="2:3">
      <c r="B269" s="186">
        <v>1758</v>
      </c>
      <c r="C269" s="24" t="s">
        <v>484</v>
      </c>
    </row>
    <row r="270" spans="2:3">
      <c r="B270" s="186">
        <v>1760</v>
      </c>
      <c r="C270" s="24" t="s">
        <v>485</v>
      </c>
    </row>
    <row r="271" spans="2:3">
      <c r="B271" s="186">
        <v>1767</v>
      </c>
      <c r="C271" s="24" t="s">
        <v>288</v>
      </c>
    </row>
    <row r="272" spans="2:3">
      <c r="B272" s="186">
        <v>1814</v>
      </c>
      <c r="C272" s="24" t="s">
        <v>289</v>
      </c>
    </row>
    <row r="273" spans="2:3">
      <c r="B273" s="186">
        <v>1818</v>
      </c>
      <c r="C273" s="24" t="s">
        <v>290</v>
      </c>
    </row>
    <row r="274" spans="2:3">
      <c r="B274" s="186">
        <v>1822</v>
      </c>
      <c r="C274" s="24" t="s">
        <v>486</v>
      </c>
    </row>
    <row r="275" spans="2:3">
      <c r="B275" s="186">
        <v>1827</v>
      </c>
      <c r="C275" s="24" t="s">
        <v>487</v>
      </c>
    </row>
    <row r="276" spans="2:3">
      <c r="B276" s="186">
        <v>1832</v>
      </c>
      <c r="C276" s="24" t="s">
        <v>291</v>
      </c>
    </row>
    <row r="277" spans="2:3">
      <c r="B277" s="186">
        <v>1841</v>
      </c>
      <c r="C277" s="24" t="s">
        <v>488</v>
      </c>
    </row>
    <row r="278" spans="2:3">
      <c r="B278" s="186">
        <v>1846</v>
      </c>
      <c r="C278" s="24" t="s">
        <v>292</v>
      </c>
    </row>
    <row r="279" spans="2:3">
      <c r="B279" s="186">
        <v>1847</v>
      </c>
      <c r="C279" s="24" t="s">
        <v>489</v>
      </c>
    </row>
    <row r="280" spans="2:3">
      <c r="B280" s="186">
        <v>1850</v>
      </c>
      <c r="C280" s="24" t="s">
        <v>490</v>
      </c>
    </row>
    <row r="281" spans="2:3">
      <c r="B281" s="186">
        <v>1857</v>
      </c>
      <c r="C281" s="24" t="s">
        <v>293</v>
      </c>
    </row>
    <row r="282" spans="2:3">
      <c r="B282" s="186">
        <v>1858</v>
      </c>
      <c r="C282" s="24" t="s">
        <v>178</v>
      </c>
    </row>
    <row r="283" spans="2:3">
      <c r="B283" s="186">
        <v>1860</v>
      </c>
      <c r="C283" s="24" t="s">
        <v>491</v>
      </c>
    </row>
    <row r="284" spans="2:3">
      <c r="B284" s="186">
        <v>1863</v>
      </c>
      <c r="C284" s="24" t="s">
        <v>294</v>
      </c>
    </row>
    <row r="285" spans="2:3">
      <c r="B285" s="186">
        <v>1877</v>
      </c>
      <c r="C285" s="24" t="s">
        <v>295</v>
      </c>
    </row>
    <row r="286" spans="2:3">
      <c r="B286" s="186">
        <v>1881</v>
      </c>
      <c r="C286" s="24" t="s">
        <v>492</v>
      </c>
    </row>
    <row r="287" spans="2:3">
      <c r="B287" s="186">
        <v>1886</v>
      </c>
      <c r="C287" s="24" t="s">
        <v>493</v>
      </c>
    </row>
    <row r="288" spans="2:3">
      <c r="B288" s="186">
        <v>1892</v>
      </c>
      <c r="C288" s="24" t="s">
        <v>296</v>
      </c>
    </row>
    <row r="289" spans="2:3">
      <c r="B289" s="186">
        <v>1900</v>
      </c>
      <c r="C289" s="24" t="s">
        <v>494</v>
      </c>
    </row>
    <row r="290" spans="2:3">
      <c r="B290" s="186">
        <v>1901</v>
      </c>
      <c r="C290" s="24" t="s">
        <v>297</v>
      </c>
    </row>
    <row r="291" spans="2:3">
      <c r="B291" s="186">
        <v>1903</v>
      </c>
      <c r="C291" s="24" t="s">
        <v>298</v>
      </c>
    </row>
    <row r="292" spans="2:3">
      <c r="B292" s="186">
        <v>1904</v>
      </c>
      <c r="C292" s="24" t="s">
        <v>299</v>
      </c>
    </row>
    <row r="293" spans="2:3">
      <c r="B293" s="186">
        <v>1905</v>
      </c>
      <c r="C293" s="24" t="s">
        <v>495</v>
      </c>
    </row>
    <row r="294" spans="2:3">
      <c r="B294" s="186">
        <v>1908</v>
      </c>
      <c r="C294" s="24" t="s">
        <v>300</v>
      </c>
    </row>
    <row r="295" spans="2:3">
      <c r="B295" s="186">
        <v>1910</v>
      </c>
      <c r="C295" s="24" t="s">
        <v>301</v>
      </c>
    </row>
    <row r="296" spans="2:3">
      <c r="B296" s="186">
        <v>1914</v>
      </c>
      <c r="C296" s="24" t="s">
        <v>496</v>
      </c>
    </row>
    <row r="297" spans="2:3">
      <c r="B297" s="186">
        <v>1916</v>
      </c>
      <c r="C297" s="24" t="s">
        <v>497</v>
      </c>
    </row>
    <row r="298" spans="2:3">
      <c r="B298" s="186">
        <v>1917</v>
      </c>
      <c r="C298" s="24" t="s">
        <v>302</v>
      </c>
    </row>
    <row r="299" spans="2:3">
      <c r="B299" s="186">
        <v>1919</v>
      </c>
      <c r="C299" s="24" t="s">
        <v>303</v>
      </c>
    </row>
    <row r="300" spans="2:3">
      <c r="B300" s="186">
        <v>1920</v>
      </c>
      <c r="C300" s="24" t="s">
        <v>498</v>
      </c>
    </row>
    <row r="301" spans="2:3">
      <c r="B301" s="186">
        <v>1933</v>
      </c>
      <c r="C301" s="24" t="s">
        <v>304</v>
      </c>
    </row>
    <row r="302" spans="2:3">
      <c r="B302" s="186">
        <v>1938</v>
      </c>
      <c r="C302" s="24" t="s">
        <v>499</v>
      </c>
    </row>
    <row r="303" spans="2:3">
      <c r="B303" s="186">
        <v>1940</v>
      </c>
      <c r="C303" s="24" t="s">
        <v>500</v>
      </c>
    </row>
    <row r="304" spans="2:3">
      <c r="B304" s="186">
        <v>1941</v>
      </c>
      <c r="C304" s="24" t="s">
        <v>501</v>
      </c>
    </row>
    <row r="305" spans="2:3">
      <c r="B305" s="186">
        <v>1947</v>
      </c>
      <c r="C305" s="24" t="s">
        <v>502</v>
      </c>
    </row>
    <row r="306" spans="2:3">
      <c r="B306" s="186">
        <v>1950</v>
      </c>
      <c r="C306" s="24" t="s">
        <v>503</v>
      </c>
    </row>
    <row r="307" spans="2:3">
      <c r="B307" s="186">
        <v>1951</v>
      </c>
      <c r="C307" s="24" t="s">
        <v>305</v>
      </c>
    </row>
    <row r="308" spans="2:3">
      <c r="B308" s="186">
        <v>1952</v>
      </c>
      <c r="C308" s="24" t="s">
        <v>306</v>
      </c>
    </row>
    <row r="309" spans="2:3">
      <c r="B309" s="186">
        <v>1961</v>
      </c>
      <c r="C309" s="24" t="s">
        <v>504</v>
      </c>
    </row>
    <row r="310" spans="2:3">
      <c r="B310" s="186">
        <v>1965</v>
      </c>
      <c r="C310" s="24" t="s">
        <v>505</v>
      </c>
    </row>
    <row r="311" spans="2:3">
      <c r="B311" s="186">
        <v>1966</v>
      </c>
      <c r="C311" s="24" t="s">
        <v>506</v>
      </c>
    </row>
    <row r="312" spans="2:3">
      <c r="B312" s="186">
        <v>1980</v>
      </c>
      <c r="C312" s="24" t="s">
        <v>507</v>
      </c>
    </row>
    <row r="313" spans="2:3">
      <c r="B313" s="186">
        <v>1987</v>
      </c>
      <c r="C313" s="24" t="s">
        <v>508</v>
      </c>
    </row>
    <row r="314" spans="2:3">
      <c r="B314" s="186">
        <v>1990</v>
      </c>
      <c r="C314" s="24" t="s">
        <v>509</v>
      </c>
    </row>
    <row r="315" spans="2:3">
      <c r="B315" s="186">
        <v>1997</v>
      </c>
      <c r="C315" s="24" t="s">
        <v>510</v>
      </c>
    </row>
    <row r="316" spans="2:3">
      <c r="B316" s="186">
        <v>2002</v>
      </c>
      <c r="C316" s="24" t="s">
        <v>511</v>
      </c>
    </row>
    <row r="317" spans="2:3">
      <c r="B317" s="186">
        <v>2003</v>
      </c>
      <c r="C317" s="24" t="s">
        <v>512</v>
      </c>
    </row>
    <row r="318" spans="2:3">
      <c r="B318" s="186">
        <v>2009</v>
      </c>
      <c r="C318" s="24" t="s">
        <v>513</v>
      </c>
    </row>
    <row r="319" spans="2:3">
      <c r="B319" s="186">
        <v>2010</v>
      </c>
      <c r="C319" s="24" t="s">
        <v>514</v>
      </c>
    </row>
    <row r="320" spans="2:3">
      <c r="B320" s="186">
        <v>2015</v>
      </c>
      <c r="C320" s="24" t="s">
        <v>515</v>
      </c>
    </row>
    <row r="321" spans="2:3">
      <c r="B321" s="186">
        <v>2028</v>
      </c>
      <c r="C321" s="24" t="s">
        <v>516</v>
      </c>
    </row>
    <row r="322" spans="2:3">
      <c r="B322" s="186">
        <v>2037</v>
      </c>
      <c r="C322" s="24" t="s">
        <v>517</v>
      </c>
    </row>
    <row r="323" spans="2:3">
      <c r="B323" s="186">
        <v>2040</v>
      </c>
      <c r="C323" s="24" t="s">
        <v>518</v>
      </c>
    </row>
    <row r="324" spans="2:3">
      <c r="B324" s="186">
        <v>2062</v>
      </c>
      <c r="C324" s="24" t="s">
        <v>519</v>
      </c>
    </row>
    <row r="325" spans="2:3">
      <c r="B325" s="186">
        <v>2064</v>
      </c>
      <c r="C325" s="24" t="s">
        <v>520</v>
      </c>
    </row>
    <row r="326" spans="2:3">
      <c r="B326" s="186">
        <v>2066</v>
      </c>
      <c r="C326" s="24" t="s">
        <v>521</v>
      </c>
    </row>
    <row r="327" spans="2:3">
      <c r="B327" s="186">
        <v>2076</v>
      </c>
      <c r="C327" s="24" t="s">
        <v>522</v>
      </c>
    </row>
  </sheetData>
  <sortState xmlns:xlrd2="http://schemas.microsoft.com/office/spreadsheetml/2017/richdata2" ref="B3:C328">
    <sortCondition ref="B2:B328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0AAA6-A93F-4E23-89F8-B24C3E01463E}">
  <sheetPr>
    <tabColor rgb="FFA9A389"/>
  </sheetPr>
  <dimension ref="A1"/>
  <sheetViews>
    <sheetView showGridLines="0" tabSelected="1" workbookViewId="0">
      <selection activeCell="M17" sqref="M17"/>
    </sheetView>
  </sheetViews>
  <sheetFormatPr baseColWidth="10" defaultRowHeight="12.75"/>
  <sheetData/>
  <sheetProtection algorithmName="SHA-512" hashValue="4QkYUqceg1j1wlnH48ANEQZIShwXCjjIL7EKV6z/Tt+8pzDTHjqicvZNFHcLOENqcZImQLf7m86xCLkmxmW2Iw==" saltValue="RKXFlh4trAlvZ5yyWVzZ6A==" spinCount="100000" sheet="1" objects="1" scenarios="1"/>
  <printOptions horizontalCentered="1" verticalCentered="1"/>
  <pageMargins left="0.31496062992125984" right="0.31496062992125984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D4B34"/>
  </sheetPr>
  <dimension ref="B1:P48"/>
  <sheetViews>
    <sheetView showGridLines="0" zoomScale="110" zoomScaleNormal="110" workbookViewId="0">
      <pane ySplit="3" topLeftCell="A4" activePane="bottomLeft" state="frozen"/>
      <selection pane="bottomLeft" activeCell="E46" sqref="E46"/>
    </sheetView>
  </sheetViews>
  <sheetFormatPr baseColWidth="10" defaultRowHeight="12.75"/>
  <cols>
    <col min="1" max="1" width="1.85546875" customWidth="1"/>
    <col min="2" max="3" width="2.28515625" customWidth="1"/>
    <col min="4" max="4" width="29.85546875" customWidth="1"/>
    <col min="5" max="5" width="13.85546875" customWidth="1"/>
    <col min="6" max="6" width="2" customWidth="1"/>
    <col min="7" max="7" width="10.85546875" customWidth="1"/>
    <col min="8" max="9" width="13.85546875" customWidth="1"/>
    <col min="14" max="14" width="3.85546875" customWidth="1"/>
    <col min="15" max="15" width="1.85546875" customWidth="1"/>
    <col min="16" max="16" width="11.42578125" style="186"/>
  </cols>
  <sheetData>
    <row r="1" spans="2:16" ht="8.25" customHeight="1"/>
    <row r="2" spans="2:16" ht="24.95" customHeight="1">
      <c r="D2" s="217" t="s">
        <v>33</v>
      </c>
      <c r="E2" s="218"/>
      <c r="F2" s="218"/>
      <c r="G2" s="218"/>
      <c r="H2" s="218"/>
      <c r="I2" s="218"/>
      <c r="K2" s="353" t="str">
        <f>IF(E5&lt;&gt;0,"2025-2026","2024-2025")</f>
        <v>2024-2025</v>
      </c>
    </row>
    <row r="3" spans="2:16" ht="6.75" customHeight="1">
      <c r="D3" s="24"/>
      <c r="E3" s="24"/>
      <c r="F3" s="24"/>
      <c r="G3" s="24"/>
      <c r="H3" s="24"/>
      <c r="I3" s="24"/>
    </row>
    <row r="4" spans="2:16" ht="6.75" customHeight="1" thickBot="1">
      <c r="D4" s="24"/>
      <c r="E4" s="24"/>
      <c r="F4" s="24"/>
      <c r="G4" s="24"/>
      <c r="H4" s="24"/>
      <c r="I4" s="24"/>
    </row>
    <row r="5" spans="2:16" ht="21.95" customHeight="1" thickBot="1">
      <c r="B5" s="219"/>
      <c r="C5" s="219"/>
      <c r="D5" s="25" t="s">
        <v>138</v>
      </c>
      <c r="E5" s="42">
        <v>0</v>
      </c>
    </row>
    <row r="6" spans="2:16" ht="6.75" customHeight="1" thickBot="1">
      <c r="D6" s="24"/>
      <c r="E6" s="24"/>
      <c r="F6" s="24"/>
      <c r="G6" s="24"/>
      <c r="H6" s="24"/>
      <c r="I6" s="24"/>
    </row>
    <row r="7" spans="2:16" ht="21.95" customHeight="1" thickBot="1">
      <c r="B7" s="219"/>
      <c r="C7" s="219"/>
      <c r="D7" s="25" t="s">
        <v>32</v>
      </c>
      <c r="E7" s="39" t="str">
        <f>LOOKUP(E5,ASIG!B3:B1048576,ASIG!C3:C1048576)</f>
        <v>EL GRANO DE CAFÉ MÁS ECOLÓGICO</v>
      </c>
      <c r="F7" s="40"/>
      <c r="G7" s="40"/>
      <c r="H7" s="40"/>
      <c r="I7" s="41"/>
    </row>
    <row r="8" spans="2:16" ht="9" customHeight="1">
      <c r="D8" s="25"/>
      <c r="E8" s="26"/>
      <c r="F8" s="26"/>
      <c r="G8" s="26"/>
      <c r="H8" s="26"/>
      <c r="I8" s="26"/>
    </row>
    <row r="9" spans="2:16" ht="21.95" customHeight="1">
      <c r="B9" s="219"/>
      <c r="C9" s="219"/>
      <c r="D9" s="25" t="s">
        <v>126</v>
      </c>
      <c r="E9" s="45"/>
      <c r="F9" s="26"/>
      <c r="I9" s="26"/>
    </row>
    <row r="10" spans="2:16" ht="3.75" customHeight="1" thickBot="1">
      <c r="D10" s="25"/>
      <c r="E10" s="27"/>
      <c r="F10" s="26"/>
      <c r="G10" s="94"/>
      <c r="I10" s="26"/>
    </row>
    <row r="11" spans="2:16" ht="21.95" customHeight="1" thickBot="1">
      <c r="C11" s="220"/>
      <c r="D11" s="221" t="s">
        <v>117</v>
      </c>
      <c r="E11" s="43">
        <v>5896.0388680781762</v>
      </c>
      <c r="F11" s="26"/>
      <c r="G11" s="97">
        <f>E11*E13/46</f>
        <v>5578.9529967426715</v>
      </c>
      <c r="H11" s="95" t="s">
        <v>135</v>
      </c>
      <c r="I11" s="26"/>
      <c r="P11" s="188"/>
    </row>
    <row r="12" spans="2:16" ht="3.75" customHeight="1" thickBot="1">
      <c r="D12" s="47"/>
      <c r="E12" s="28"/>
      <c r="F12" s="26"/>
      <c r="G12" s="96"/>
      <c r="H12" s="96"/>
      <c r="I12" s="26"/>
    </row>
    <row r="13" spans="2:16" ht="21.95" customHeight="1" thickBot="1">
      <c r="C13" s="220"/>
      <c r="D13" s="221" t="s">
        <v>128</v>
      </c>
      <c r="E13" s="93">
        <f>1712738.57*46/1810083.9325</f>
        <v>43.526144177847399</v>
      </c>
      <c r="G13" s="98">
        <f>E13*2.20462262</f>
        <v>95.958722015863671</v>
      </c>
      <c r="H13" s="95" t="s">
        <v>129</v>
      </c>
      <c r="I13" s="26"/>
      <c r="P13" s="189"/>
    </row>
    <row r="14" spans="2:16" ht="9" customHeight="1">
      <c r="D14" s="25"/>
      <c r="E14" s="26"/>
      <c r="F14" s="26"/>
      <c r="G14" s="26"/>
      <c r="H14" s="26"/>
      <c r="I14" s="26"/>
    </row>
    <row r="15" spans="2:16" ht="21.95" customHeight="1">
      <c r="B15" s="219"/>
      <c r="C15" s="219"/>
      <c r="D15" s="25" t="s">
        <v>127</v>
      </c>
      <c r="E15" s="45" t="s">
        <v>125</v>
      </c>
      <c r="F15" s="26"/>
      <c r="G15" s="26"/>
      <c r="H15" s="26"/>
      <c r="I15" s="26"/>
    </row>
    <row r="16" spans="2:16" ht="3.75" customHeight="1" thickBot="1">
      <c r="D16" s="25"/>
      <c r="E16" s="27"/>
      <c r="F16" s="26"/>
      <c r="G16" s="26"/>
      <c r="H16" s="26"/>
      <c r="I16" s="26"/>
    </row>
    <row r="17" spans="2:16" ht="21.95" customHeight="1" thickBot="1">
      <c r="C17" s="220"/>
      <c r="D17" s="221" t="s">
        <v>124</v>
      </c>
      <c r="E17" s="92">
        <f>1471345.52/1712738.57</f>
        <v>0.85906018920330607</v>
      </c>
      <c r="F17" s="26"/>
      <c r="G17" s="26"/>
      <c r="H17" s="26"/>
      <c r="I17" s="26"/>
      <c r="P17" s="187"/>
    </row>
    <row r="18" spans="2:16" ht="15.75" customHeight="1" thickBot="1"/>
    <row r="19" spans="2:16" ht="21.95" customHeight="1" thickBot="1">
      <c r="B19" s="219"/>
      <c r="C19" s="219"/>
      <c r="D19" s="25" t="s">
        <v>45</v>
      </c>
      <c r="E19" s="42">
        <v>2</v>
      </c>
      <c r="F19" s="26"/>
      <c r="G19" s="26"/>
      <c r="H19" s="26"/>
      <c r="I19" s="26"/>
    </row>
    <row r="20" spans="2:16" ht="15">
      <c r="D20" s="37" t="str">
        <f>IF(E19=1,"Instituto Costarricense de Electricidad",IF(E19=2,"Coope Santos, R.L.",IF(E19=3,"Compañía Nacional de Fuerza y Luz, S.A.","Otros Proveedores de Electricidad")))</f>
        <v>Coope Santos, R.L.</v>
      </c>
      <c r="E20" s="26"/>
      <c r="F20" s="26"/>
      <c r="G20" s="26"/>
      <c r="H20" s="26"/>
      <c r="I20" s="26"/>
    </row>
    <row r="21" spans="2:16" ht="3.75" customHeight="1" thickBot="1">
      <c r="D21" s="38"/>
      <c r="E21" s="46"/>
      <c r="H21" s="26"/>
      <c r="I21" s="26"/>
    </row>
    <row r="22" spans="2:16" ht="21.95" customHeight="1" thickBot="1">
      <c r="C22" s="220"/>
      <c r="D22" s="222" t="s">
        <v>159</v>
      </c>
      <c r="E22" s="44">
        <f>'BASE DATOS'!H21</f>
        <v>7.7899999999999997E-2</v>
      </c>
    </row>
    <row r="23" spans="2:16" ht="24" customHeight="1" thickBot="1">
      <c r="D23" s="25"/>
      <c r="E23" s="64" t="s">
        <v>35</v>
      </c>
      <c r="F23" s="26"/>
      <c r="G23" s="26"/>
      <c r="H23" s="26"/>
      <c r="I23" s="26"/>
    </row>
    <row r="24" spans="2:16" ht="21.95" customHeight="1" thickBot="1">
      <c r="B24" s="219"/>
      <c r="C24" s="219"/>
      <c r="D24" s="25" t="s">
        <v>34</v>
      </c>
      <c r="E24" s="42">
        <v>5</v>
      </c>
      <c r="F24" s="29"/>
      <c r="G24" s="29"/>
      <c r="H24" s="26"/>
      <c r="I24" s="26"/>
    </row>
    <row r="25" spans="2:16" ht="9" customHeight="1" thickBot="1">
      <c r="D25" s="25"/>
      <c r="E25" s="26"/>
      <c r="F25" s="26"/>
      <c r="G25" s="26"/>
      <c r="H25" s="26"/>
      <c r="I25" s="26"/>
    </row>
    <row r="26" spans="2:16" ht="21.95" customHeight="1" thickBot="1">
      <c r="B26" s="219"/>
      <c r="C26" s="219"/>
      <c r="D26" s="36" t="s">
        <v>59</v>
      </c>
      <c r="E26" s="43">
        <v>78.16</v>
      </c>
      <c r="F26" s="26"/>
      <c r="G26" s="26"/>
      <c r="H26" s="26"/>
      <c r="I26" s="26"/>
      <c r="P26" s="190"/>
    </row>
    <row r="27" spans="2:16" ht="15.75" customHeight="1"/>
    <row r="28" spans="2:16" ht="21.95" customHeight="1">
      <c r="B28" s="219"/>
      <c r="C28" s="219"/>
      <c r="D28" s="25" t="s">
        <v>48</v>
      </c>
      <c r="E28" s="45" t="str">
        <f>IF(E30=44.82%,"% Ley","% Real")</f>
        <v>% Real</v>
      </c>
    </row>
    <row r="29" spans="2:16" ht="4.5" customHeight="1" thickBot="1">
      <c r="D29" s="25"/>
      <c r="E29" s="27"/>
    </row>
    <row r="30" spans="2:16" ht="21.95" customHeight="1" thickBot="1">
      <c r="C30" s="220"/>
      <c r="D30" s="221" t="s">
        <v>58</v>
      </c>
      <c r="E30" s="44">
        <f>'BASE DATOS'!H10</f>
        <v>0.44946666666666668</v>
      </c>
    </row>
    <row r="32" spans="2:16" ht="21.95" customHeight="1">
      <c r="B32" s="219"/>
      <c r="C32" s="219"/>
      <c r="D32" s="25" t="s">
        <v>114</v>
      </c>
      <c r="F32" s="26"/>
      <c r="G32" s="26"/>
      <c r="H32" s="26"/>
      <c r="I32" s="26"/>
    </row>
    <row r="33" spans="2:16" ht="3.75" customHeight="1" thickBot="1">
      <c r="D33" s="38"/>
      <c r="E33" s="63"/>
      <c r="H33" s="26"/>
      <c r="I33" s="26"/>
    </row>
    <row r="34" spans="2:16" ht="21.95" customHeight="1" thickBot="1">
      <c r="B34" s="26"/>
      <c r="C34" s="220"/>
      <c r="D34" s="221" t="s">
        <v>115</v>
      </c>
      <c r="E34" s="43">
        <v>91357.202239336184</v>
      </c>
      <c r="F34" s="26"/>
      <c r="G34" s="26"/>
      <c r="H34" s="26"/>
      <c r="I34" s="26"/>
      <c r="P34" s="188"/>
    </row>
    <row r="35" spans="2:16" ht="21.95" customHeight="1">
      <c r="D35" s="47" t="s">
        <v>130</v>
      </c>
      <c r="E35" s="26"/>
      <c r="F35" s="26"/>
      <c r="G35" s="26"/>
      <c r="H35" s="26"/>
      <c r="I35" s="26"/>
    </row>
    <row r="36" spans="2:16" ht="21.95" customHeight="1">
      <c r="B36" s="219"/>
      <c r="C36" s="219"/>
      <c r="D36" s="36" t="s">
        <v>123</v>
      </c>
      <c r="F36" s="23"/>
      <c r="G36" s="23"/>
      <c r="H36" s="23"/>
      <c r="I36" s="26"/>
    </row>
    <row r="37" spans="2:16" ht="3.75" customHeight="1" thickBot="1">
      <c r="D37" s="38"/>
      <c r="E37" s="63"/>
      <c r="H37" s="26"/>
      <c r="I37" s="26"/>
    </row>
    <row r="38" spans="2:16" ht="21.95" customHeight="1" thickBot="1">
      <c r="B38" s="26"/>
      <c r="C38" s="220"/>
      <c r="D38" s="221" t="s">
        <v>115</v>
      </c>
      <c r="E38" s="43">
        <v>0</v>
      </c>
      <c r="F38" s="26"/>
      <c r="G38" s="26"/>
      <c r="H38" s="26"/>
      <c r="I38" s="26"/>
      <c r="P38" s="188"/>
    </row>
    <row r="39" spans="2:16" ht="21.95" customHeight="1">
      <c r="D39" s="47" t="s">
        <v>116</v>
      </c>
      <c r="E39" s="26"/>
      <c r="F39" s="26"/>
      <c r="G39" s="26"/>
      <c r="H39" s="26"/>
      <c r="I39" s="26"/>
    </row>
    <row r="40" spans="2:16" ht="10.5" customHeight="1">
      <c r="I40" s="23"/>
    </row>
    <row r="41" spans="2:16" ht="15.95" customHeight="1" thickBot="1">
      <c r="D41" s="388" t="s">
        <v>49</v>
      </c>
    </row>
    <row r="42" spans="2:16" ht="21.95" customHeight="1" thickBot="1">
      <c r="B42" s="219"/>
      <c r="C42" s="219"/>
      <c r="D42" s="388"/>
      <c r="E42" s="91">
        <v>2</v>
      </c>
    </row>
    <row r="43" spans="2:16" ht="15.95" customHeight="1">
      <c r="D43" s="388"/>
    </row>
    <row r="44" spans="2:16" ht="18" customHeight="1"/>
    <row r="45" spans="2:16" ht="15.95" customHeight="1" thickBot="1">
      <c r="D45" s="388" t="s">
        <v>47</v>
      </c>
    </row>
    <row r="46" spans="2:16" ht="21.95" customHeight="1" thickBot="1">
      <c r="B46" s="219"/>
      <c r="C46" s="219"/>
      <c r="D46" s="388"/>
      <c r="E46" s="43">
        <v>7.13</v>
      </c>
      <c r="P46" s="188"/>
    </row>
    <row r="47" spans="2:16" ht="15.95" customHeight="1">
      <c r="D47" s="388"/>
    </row>
    <row r="48" spans="2:16" ht="9.75" customHeight="1"/>
  </sheetData>
  <sheetProtection algorithmName="SHA-512" hashValue="eu6+XjfXElStxetV2ST1FMJgOQaXPNs3v8ZfH+7asVY6yupR5rJJ9cFLA28/F4A6aVB1ghcfA8nVRL9NoOj7PA==" saltValue="9r57d+jLk8zk+HrGdjW7Ug==" spinCount="100000" sheet="1" objects="1" scenarios="1"/>
  <dataConsolidate/>
  <mergeCells count="2">
    <mergeCell ref="D41:D43"/>
    <mergeCell ref="D45:D47"/>
  </mergeCells>
  <phoneticPr fontId="3" type="noConversion"/>
  <conditionalFormatting sqref="E34">
    <cfRule type="cellIs" dxfId="1" priority="2" stopIfTrue="1" operator="equal">
      <formula>0</formula>
    </cfRule>
  </conditionalFormatting>
  <conditionalFormatting sqref="E38">
    <cfRule type="cellIs" dxfId="0" priority="1" stopIfTrue="1" operator="equal">
      <formula>0</formula>
    </cfRule>
  </conditionalFormatting>
  <dataValidations count="11">
    <dataValidation type="whole" allowBlank="1" showInputMessage="1" showErrorMessage="1" errorTitle="Fuera de Rango" error="Digite un número entero entre 1 y 4." sqref="E42" xr:uid="{3A3C3D6C-8997-4523-AA3D-2595C738A412}">
      <formula1>1</formula1>
      <formula2>4</formula2>
    </dataValidation>
    <dataValidation allowBlank="1" showInputMessage="1" showErrorMessage="1" errorTitle="Fuera de Rango" error="Digitar un número decimal entre 0.15% y 0.95%." sqref="E34 E38" xr:uid="{A8E3E60D-F0AF-474C-A8B5-8476842FFA8C}"/>
    <dataValidation type="whole" allowBlank="1" showInputMessage="1" showErrorMessage="1" errorTitle="Fuera de Rango" error="Digitar un número entero entre 1 y 4." sqref="E19" xr:uid="{6212D250-6D88-49AD-B7CB-B2A603B74DA7}">
      <formula1>1</formula1>
      <formula2>4</formula2>
    </dataValidation>
    <dataValidation type="decimal" allowBlank="1" showInputMessage="1" showErrorMessage="1" errorTitle="Fuera de Rango" error="Anotar un porcentaje no mayor a 50%." sqref="E30" xr:uid="{30818000-5561-4749-B87A-F46C90AA68B6}">
      <formula1>0</formula1>
      <formula2>0.5</formula2>
    </dataValidation>
    <dataValidation type="decimal" allowBlank="1" showInputMessage="1" showErrorMessage="1" errorTitle="Fuera de Rango" error="Digitar un porcentaje no mayor a 13%." sqref="E22" xr:uid="{BBDD2F57-89A2-4465-B0F5-3CC53063D4EE}">
      <formula1>0</formula1>
      <formula2>0.13</formula2>
    </dataValidation>
    <dataValidation type="whole" allowBlank="1" showErrorMessage="1" errorTitle="Fuera de Rango" error="Digite un número entero entre 1 y 5." promptTitle="Información" prompt="Indique la zona en la cual se encuentra la planta Beneficiadora" sqref="E24" xr:uid="{275161A9-B5AA-45A0-910D-C65A43B1289A}">
      <formula1>1</formula1>
      <formula2>5</formula2>
    </dataValidation>
    <dataValidation type="decimal" operator="greaterThanOrEqual" allowBlank="1" showInputMessage="1" showErrorMessage="1" errorTitle="Número con Decimales" error="Digitar el número de fanegas procesadas con sus decimales.  Mayor que cero." sqref="E11" xr:uid="{BDA70DA7-DDD7-4573-A735-AB88FCB4F723}">
      <formula1>0</formula1>
    </dataValidation>
    <dataValidation type="decimal" operator="greaterThanOrEqual" allowBlank="1" showInputMessage="1" showErrorMessage="1" errorTitle="Letra, símbolo o número negativo" error="Digitar la cantidad de quintales (qq) vendidos para exportación (entero con decimales)" sqref="E14 E16" xr:uid="{AF3D0F1B-386F-4F00-951A-620A0ACA63A1}">
      <formula1>0</formula1>
    </dataValidation>
    <dataValidation type="decimal" operator="greaterThanOrEqual" allowBlank="1" showInputMessage="1" showErrorMessage="1" errorTitle="Letra, símbolo o número negativo" error="Digitar la cantidad de sacos (46 kg) vendidos para consumo nacional.  Mayor que cero." sqref="E17" xr:uid="{986902F2-0B3F-4231-B9AD-E8A148E60283}">
      <formula1>0</formula1>
    </dataValidation>
    <dataValidation type="decimal" operator="greaterThanOrEqual" allowBlank="1" showInputMessage="1" showErrorMessage="1" errorTitle="Número con Decimales" error="Digitar la cantidad de sacos (46 kg) vendidos para exportación.  Mayor que cero." sqref="E13" xr:uid="{DDBFBB57-1C2D-4CC4-8C48-20F6947AB7C8}">
      <formula1>0</formula1>
    </dataValidation>
    <dataValidation type="decimal" allowBlank="1" showInputMessage="1" showErrorMessage="1" errorTitle="Fuera de Rango" error="Digitar un número decimal entre 0 y 500" sqref="E26 E46" xr:uid="{6C76AC1B-0A7F-4630-9685-41B835B5CB74}">
      <formula1>0</formula1>
      <formula2>500</formula2>
    </dataValidation>
  </dataValidations>
  <printOptions horizontalCentered="1" verticalCentered="1"/>
  <pageMargins left="0.74803149606299213" right="0.74803149606299213" top="0.59055118110236227" bottom="0.59055118110236227" header="0" footer="0"/>
  <pageSetup scale="80" orientation="landscape" r:id="rId1"/>
  <headerFooter alignWithMargins="0"/>
  <cellWatches>
    <cellWatch r="E42"/>
  </cellWatches>
  <ignoredErrors>
    <ignoredError sqref="E30 E22" unlockedFormula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9A389"/>
  </sheetPr>
  <dimension ref="A1:U127"/>
  <sheetViews>
    <sheetView showGridLines="0" zoomScaleNormal="100" workbookViewId="0">
      <pane ySplit="5" topLeftCell="A6" activePane="bottomLeft" state="frozen"/>
      <selection pane="bottomLeft" activeCell="A73" sqref="A73:XFD127"/>
    </sheetView>
  </sheetViews>
  <sheetFormatPr baseColWidth="10" defaultColWidth="11.42578125" defaultRowHeight="12"/>
  <cols>
    <col min="1" max="1" width="1" style="52" customWidth="1"/>
    <col min="2" max="2" width="15.28515625" style="52" customWidth="1"/>
    <col min="3" max="3" width="14.85546875" style="53" customWidth="1"/>
    <col min="4" max="4" width="13.85546875" style="53" customWidth="1"/>
    <col min="5" max="5" width="14.28515625" style="53" customWidth="1"/>
    <col min="6" max="6" width="30.140625" style="53" bestFit="1" customWidth="1"/>
    <col min="7" max="7" width="1.140625" style="53" customWidth="1"/>
    <col min="8" max="8" width="16.5703125" style="54" customWidth="1"/>
    <col min="9" max="10" width="14.28515625" style="54" bestFit="1" customWidth="1"/>
    <col min="11" max="11" width="1.140625" style="53" customWidth="1"/>
    <col min="12" max="12" width="11.7109375" style="53" bestFit="1" customWidth="1"/>
    <col min="13" max="13" width="13" style="52" bestFit="1" customWidth="1"/>
    <col min="14" max="14" width="1" style="52" customWidth="1"/>
    <col min="15" max="15" width="11.7109375" style="53" hidden="1" customWidth="1"/>
    <col min="16" max="16" width="13.5703125" style="52" hidden="1" customWidth="1"/>
    <col min="17" max="17" width="4.85546875" style="52" hidden="1" customWidth="1"/>
    <col min="18" max="18" width="4" style="52" hidden="1" customWidth="1"/>
    <col min="19" max="21" width="11.42578125" style="52" hidden="1" customWidth="1"/>
    <col min="22" max="16384" width="11.42578125" style="52"/>
  </cols>
  <sheetData>
    <row r="1" spans="2:19" ht="5.25" customHeight="1" thickBot="1"/>
    <row r="2" spans="2:19" ht="31.5" customHeight="1" thickTop="1" thickBot="1">
      <c r="B2" s="114" t="s">
        <v>131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6"/>
    </row>
    <row r="3" spans="2:19" ht="13.5" thickTop="1" thickBot="1"/>
    <row r="4" spans="2:19" ht="18" customHeight="1" thickBot="1">
      <c r="H4" s="223" t="s">
        <v>61</v>
      </c>
      <c r="I4" s="224"/>
      <c r="J4" s="225"/>
      <c r="L4" s="226" t="s">
        <v>62</v>
      </c>
      <c r="M4" s="227"/>
    </row>
    <row r="5" spans="2:19" ht="18" customHeight="1" thickBot="1">
      <c r="B5" s="55" t="s">
        <v>63</v>
      </c>
      <c r="C5" s="56" t="s">
        <v>8</v>
      </c>
      <c r="D5" s="56" t="s">
        <v>64</v>
      </c>
      <c r="E5" s="56" t="s">
        <v>2</v>
      </c>
      <c r="F5" s="56" t="s">
        <v>65</v>
      </c>
      <c r="G5" s="56"/>
      <c r="H5" s="57" t="s">
        <v>66</v>
      </c>
      <c r="I5" s="57" t="s">
        <v>67</v>
      </c>
      <c r="J5" s="57" t="s">
        <v>68</v>
      </c>
      <c r="K5" s="56"/>
      <c r="L5" s="56" t="s">
        <v>69</v>
      </c>
      <c r="M5" s="56" t="s">
        <v>70</v>
      </c>
    </row>
    <row r="6" spans="2:19" ht="3.75" customHeight="1" thickBot="1">
      <c r="M6" s="53"/>
    </row>
    <row r="7" spans="2:19" ht="20.100000000000001" customHeight="1">
      <c r="B7" s="391" t="s">
        <v>139</v>
      </c>
      <c r="C7" s="228" t="s">
        <v>71</v>
      </c>
      <c r="D7" s="275" t="s">
        <v>36</v>
      </c>
      <c r="E7" s="276" t="s">
        <v>11</v>
      </c>
      <c r="F7" s="277" t="s">
        <v>170</v>
      </c>
      <c r="G7" s="65"/>
      <c r="H7" s="278">
        <v>23.5379</v>
      </c>
      <c r="I7" s="279">
        <v>-0.22750000000000001</v>
      </c>
      <c r="J7" s="280" t="s">
        <v>13</v>
      </c>
      <c r="K7" s="65"/>
      <c r="L7" s="281" t="s">
        <v>13</v>
      </c>
      <c r="M7" s="282">
        <v>8.7366399999999995</v>
      </c>
      <c r="O7" s="62">
        <f>H7*POWER(DATOS!$E$11,I7)</f>
        <v>3.2656169125204726</v>
      </c>
      <c r="P7" s="136">
        <f>ROUND(IF(AND(L7="-",M7="-"),O7,IF(O7&lt;SUM(L7),L7,IF(O7&gt;M7,M7,O7))),5)</f>
        <v>3.2656200000000002</v>
      </c>
      <c r="R7" s="108"/>
      <c r="S7" s="329"/>
    </row>
    <row r="8" spans="2:19" ht="20.100000000000001" customHeight="1" thickBot="1">
      <c r="B8" s="392"/>
      <c r="C8" s="229" t="s">
        <v>72</v>
      </c>
      <c r="D8" s="110" t="s">
        <v>41</v>
      </c>
      <c r="E8" s="65" t="s">
        <v>52</v>
      </c>
      <c r="F8" s="72" t="s">
        <v>73</v>
      </c>
      <c r="G8" s="65"/>
      <c r="H8" s="100" t="s">
        <v>74</v>
      </c>
      <c r="I8" s="111"/>
      <c r="J8" s="101"/>
      <c r="K8" s="65"/>
      <c r="L8" s="79" t="s">
        <v>13</v>
      </c>
      <c r="M8" s="72" t="s">
        <v>13</v>
      </c>
      <c r="O8" s="137">
        <f>IF(R8=1,C79,IF(R8=2,C80,IF(R8=3,C81,IF(R8=4,C82,IF(R8=5,C83,C84)))))</f>
        <v>1757.23</v>
      </c>
      <c r="R8" s="135">
        <f>IF(DATOS!$E$11&lt;1000,1,IF(DATOS!$E$11&gt;=60000,6,IF(AND(DATOS!$E$11&gt;=1000,DATOS!$E$11&lt;3000),2,IF(AND(DATOS!$E$11&gt;=3000,DATOS!$E$11&lt;6000),3,IF(AND(DATOS!$E$11&gt;=6000,DATOS!$E$11&lt;20000),4,5)))))</f>
        <v>3</v>
      </c>
      <c r="S8" s="329"/>
    </row>
    <row r="9" spans="2:19" ht="20.100000000000001" customHeight="1" thickBot="1">
      <c r="B9" s="392"/>
      <c r="C9" s="231" t="s">
        <v>75</v>
      </c>
      <c r="D9" s="232" t="s">
        <v>37</v>
      </c>
      <c r="E9" s="233" t="s">
        <v>51</v>
      </c>
      <c r="F9" s="234" t="s">
        <v>171</v>
      </c>
      <c r="G9" s="112"/>
      <c r="H9" s="235">
        <v>93034.408200000005</v>
      </c>
      <c r="I9" s="236">
        <v>-0.40450000000000003</v>
      </c>
      <c r="J9" s="237" t="s">
        <v>13</v>
      </c>
      <c r="K9" s="112"/>
      <c r="L9" s="238" t="s">
        <v>13</v>
      </c>
      <c r="M9" s="239">
        <v>7347.6981430264723</v>
      </c>
      <c r="O9" s="58">
        <f>H9*POWER(DATOS!$E$11,I9)</f>
        <v>2776.2076252473062</v>
      </c>
      <c r="P9" s="138">
        <f>ROUND(IF(AND(L9="-",M9="-"),O9,IF(O9&lt;SUM(L9),L9,IF(O9&gt;SUM(M9),M9,O9))),2)</f>
        <v>2776.21</v>
      </c>
      <c r="R9" s="108"/>
      <c r="S9" s="329"/>
    </row>
    <row r="10" spans="2:19" ht="20.100000000000001" customHeight="1" thickBot="1">
      <c r="B10" s="393"/>
      <c r="C10" s="230" t="s">
        <v>60</v>
      </c>
      <c r="D10" s="113" t="s">
        <v>77</v>
      </c>
      <c r="E10" s="68" t="s">
        <v>15</v>
      </c>
      <c r="F10" s="71" t="s">
        <v>78</v>
      </c>
      <c r="G10" s="65"/>
      <c r="H10" s="99">
        <v>0.44946666666666668</v>
      </c>
      <c r="I10" s="85"/>
      <c r="J10" s="86"/>
      <c r="K10" s="65"/>
      <c r="L10" s="70" t="s">
        <v>13</v>
      </c>
      <c r="M10" s="71" t="s">
        <v>13</v>
      </c>
    </row>
    <row r="11" spans="2:19" ht="6.75" customHeight="1" thickBot="1">
      <c r="B11" s="330"/>
      <c r="F11" s="65"/>
      <c r="G11" s="65"/>
      <c r="H11" s="102"/>
      <c r="I11" s="102"/>
      <c r="J11" s="102"/>
      <c r="K11" s="65"/>
      <c r="L11" s="65"/>
      <c r="M11" s="103"/>
    </row>
    <row r="12" spans="2:19" ht="20.100000000000001" customHeight="1" thickBot="1">
      <c r="B12" s="391" t="s">
        <v>141</v>
      </c>
      <c r="C12" s="396" t="s">
        <v>17</v>
      </c>
      <c r="D12" s="240" t="s">
        <v>36</v>
      </c>
      <c r="E12" s="241" t="s">
        <v>18</v>
      </c>
      <c r="F12" s="242" t="s">
        <v>79</v>
      </c>
      <c r="G12" s="65"/>
      <c r="H12" s="243">
        <v>0.1792</v>
      </c>
      <c r="I12" s="244">
        <v>1.3177000000000001</v>
      </c>
      <c r="J12" s="245" t="s">
        <v>13</v>
      </c>
      <c r="K12" s="65"/>
      <c r="L12" s="246">
        <v>1.78</v>
      </c>
      <c r="M12" s="247">
        <v>16.690000000000001</v>
      </c>
      <c r="O12" s="58">
        <f>H12+I12*LN(DATOS!$E$11)</f>
        <v>11.619518871627081</v>
      </c>
      <c r="P12" s="139">
        <f>ROUND(IF(AND(L12="-",M12="-"),O12,IF(O12&lt;SUM(L12),L12,IF(O12&gt;SUM(M12),M12,O12))),2)</f>
        <v>11.62</v>
      </c>
      <c r="R12" s="108"/>
      <c r="S12" s="329"/>
    </row>
    <row r="13" spans="2:19" ht="20.100000000000001" customHeight="1">
      <c r="B13" s="394"/>
      <c r="C13" s="397"/>
      <c r="D13" s="248" t="s">
        <v>80</v>
      </c>
      <c r="E13" s="249" t="s">
        <v>53</v>
      </c>
      <c r="F13" s="250" t="s">
        <v>134</v>
      </c>
      <c r="G13" s="65"/>
      <c r="H13" s="254">
        <v>1201.518</v>
      </c>
      <c r="I13" s="255">
        <v>-0.3468</v>
      </c>
      <c r="J13" s="256" t="s">
        <v>13</v>
      </c>
      <c r="K13" s="65"/>
      <c r="L13" s="260">
        <v>12.92</v>
      </c>
      <c r="M13" s="261">
        <v>127.11</v>
      </c>
      <c r="O13" s="58">
        <f>H13*POWER(DATOS!$E$11,I13)</f>
        <v>59.169780230507193</v>
      </c>
      <c r="P13" s="137">
        <f>ROUND(IF(AND(L13="-",M13="-"),O13,IF(O13&lt;SUM(L13),L13,IF(O13&gt;SUM(M13),M13,O13))),2)</f>
        <v>59.17</v>
      </c>
      <c r="R13" s="108"/>
      <c r="S13" s="329"/>
    </row>
    <row r="14" spans="2:19" ht="20.100000000000001" customHeight="1">
      <c r="B14" s="394"/>
      <c r="C14" s="397"/>
      <c r="D14" s="117" t="s">
        <v>81</v>
      </c>
      <c r="E14" s="118" t="s">
        <v>53</v>
      </c>
      <c r="F14" s="119" t="s">
        <v>133</v>
      </c>
      <c r="G14" s="65"/>
      <c r="H14" s="120">
        <v>576.40419999999995</v>
      </c>
      <c r="I14" s="121">
        <v>-0.23899999999999999</v>
      </c>
      <c r="J14" s="122" t="s">
        <v>13</v>
      </c>
      <c r="K14" s="65"/>
      <c r="L14" s="123">
        <v>16.91</v>
      </c>
      <c r="M14" s="124">
        <v>120.47</v>
      </c>
      <c r="O14" s="58">
        <f>H14*POWER(DATOS!$E$11,I14)</f>
        <v>72.370773754000808</v>
      </c>
      <c r="P14" s="137">
        <f t="shared" ref="P14:P19" si="0">ROUND(IF(AND(L14="-",M14="-"),O14,IF(O14&lt;SUM(L14),L14,IF(O14&gt;SUM(M14),M14,O14))),2)</f>
        <v>72.37</v>
      </c>
      <c r="R14" s="108"/>
      <c r="S14" s="329"/>
    </row>
    <row r="15" spans="2:19" ht="20.100000000000001" customHeight="1" thickBot="1">
      <c r="B15" s="394"/>
      <c r="C15" s="398"/>
      <c r="D15" s="251" t="s">
        <v>82</v>
      </c>
      <c r="E15" s="252" t="s">
        <v>53</v>
      </c>
      <c r="F15" s="253" t="s">
        <v>134</v>
      </c>
      <c r="G15" s="65"/>
      <c r="H15" s="257">
        <v>1024.1996999999999</v>
      </c>
      <c r="I15" s="258">
        <v>-0.29370000000000002</v>
      </c>
      <c r="J15" s="259" t="s">
        <v>13</v>
      </c>
      <c r="K15" s="65"/>
      <c r="L15" s="262">
        <v>19.309999999999999</v>
      </c>
      <c r="M15" s="263">
        <v>163.66</v>
      </c>
      <c r="O15" s="58">
        <f>H15*POWER(DATOS!$E$11,I15)</f>
        <v>79.978098244157579</v>
      </c>
      <c r="P15" s="137">
        <f t="shared" si="0"/>
        <v>79.98</v>
      </c>
      <c r="R15" s="108"/>
      <c r="S15" s="329"/>
    </row>
    <row r="16" spans="2:19" ht="20.100000000000001" customHeight="1" thickBot="1">
      <c r="B16" s="394"/>
      <c r="C16" s="399" t="s">
        <v>83</v>
      </c>
      <c r="D16" s="264" t="s">
        <v>36</v>
      </c>
      <c r="E16" s="265" t="s">
        <v>20</v>
      </c>
      <c r="F16" s="266" t="s">
        <v>79</v>
      </c>
      <c r="G16" s="65"/>
      <c r="H16" s="235">
        <v>-0.1575</v>
      </c>
      <c r="I16" s="236">
        <v>2.53E-2</v>
      </c>
      <c r="J16" s="237" t="s">
        <v>13</v>
      </c>
      <c r="K16" s="65"/>
      <c r="L16" s="267">
        <v>0</v>
      </c>
      <c r="M16" s="268">
        <v>0.15920000000000001</v>
      </c>
      <c r="O16" s="54">
        <f>H16+I16*LN(DATOS!$E$11)</f>
        <v>6.2155511461004148E-2</v>
      </c>
      <c r="P16" s="140">
        <f>ROUND(IF(AND(L16="-",M16="-"),O16,IF(O16&lt;SUM(L16),L16,IF(O16&gt;SUM(M16),M16,O16))),4)</f>
        <v>6.2199999999999998E-2</v>
      </c>
      <c r="R16" s="108"/>
      <c r="S16" s="329"/>
    </row>
    <row r="17" spans="2:19" ht="20.100000000000001" customHeight="1">
      <c r="B17" s="394"/>
      <c r="C17" s="400"/>
      <c r="D17" s="248" t="s">
        <v>80</v>
      </c>
      <c r="E17" s="249" t="s">
        <v>54</v>
      </c>
      <c r="F17" s="250" t="s">
        <v>134</v>
      </c>
      <c r="G17" s="65"/>
      <c r="H17" s="254">
        <v>34354.7955</v>
      </c>
      <c r="I17" s="255">
        <v>-0.14899999999999999</v>
      </c>
      <c r="J17" s="256" t="s">
        <v>13</v>
      </c>
      <c r="K17" s="65"/>
      <c r="L17" s="269">
        <v>4099.74</v>
      </c>
      <c r="M17" s="270">
        <v>12571.65</v>
      </c>
      <c r="O17" s="58">
        <f>H17*POWER(DATOS!$E$11,I17)</f>
        <v>9422.6677395102688</v>
      </c>
      <c r="P17" s="137">
        <f t="shared" si="0"/>
        <v>9422.67</v>
      </c>
      <c r="R17" s="108"/>
      <c r="S17" s="329"/>
    </row>
    <row r="18" spans="2:19" ht="20.100000000000001" customHeight="1">
      <c r="B18" s="394"/>
      <c r="C18" s="400"/>
      <c r="D18" s="117" t="s">
        <v>81</v>
      </c>
      <c r="E18" s="118" t="s">
        <v>54</v>
      </c>
      <c r="F18" s="119" t="s">
        <v>133</v>
      </c>
      <c r="G18" s="65"/>
      <c r="H18" s="120">
        <v>17703.199400000001</v>
      </c>
      <c r="I18" s="121">
        <v>-7.0800000000000002E-2</v>
      </c>
      <c r="J18" s="122" t="s">
        <v>13</v>
      </c>
      <c r="K18" s="65"/>
      <c r="L18" s="125">
        <v>3331.58</v>
      </c>
      <c r="M18" s="126">
        <v>12088</v>
      </c>
      <c r="O18" s="58">
        <f>H18*POWER(DATOS!$E$11,I18)</f>
        <v>9574.0587719721916</v>
      </c>
      <c r="P18" s="137">
        <f t="shared" si="0"/>
        <v>9574.06</v>
      </c>
      <c r="R18" s="108"/>
      <c r="S18" s="329"/>
    </row>
    <row r="19" spans="2:19" ht="20.100000000000001" customHeight="1" thickBot="1">
      <c r="B19" s="394"/>
      <c r="C19" s="401"/>
      <c r="D19" s="251" t="s">
        <v>82</v>
      </c>
      <c r="E19" s="252" t="s">
        <v>54</v>
      </c>
      <c r="F19" s="253" t="s">
        <v>134</v>
      </c>
      <c r="G19" s="65"/>
      <c r="H19" s="257">
        <v>65002.735399999998</v>
      </c>
      <c r="I19" s="258">
        <v>-0.18329999999999999</v>
      </c>
      <c r="J19" s="259" t="s">
        <v>13</v>
      </c>
      <c r="K19" s="65"/>
      <c r="L19" s="271">
        <v>5246.7</v>
      </c>
      <c r="M19" s="272">
        <v>16228.44</v>
      </c>
      <c r="O19" s="58">
        <f>H19*POWER(DATOS!$E$11,I19)</f>
        <v>13236.949828773504</v>
      </c>
      <c r="P19" s="137">
        <f t="shared" si="0"/>
        <v>13236.95</v>
      </c>
      <c r="R19" s="108"/>
      <c r="S19" s="329"/>
    </row>
    <row r="20" spans="2:19" ht="20.100000000000001" customHeight="1" thickBot="1">
      <c r="B20" s="394"/>
      <c r="C20" s="231" t="s">
        <v>84</v>
      </c>
      <c r="D20" s="127" t="s">
        <v>37</v>
      </c>
      <c r="E20" s="128" t="s">
        <v>51</v>
      </c>
      <c r="F20" s="129" t="s">
        <v>76</v>
      </c>
      <c r="G20" s="65"/>
      <c r="H20" s="130">
        <v>249.01390000000001</v>
      </c>
      <c r="I20" s="131">
        <v>-0.1797</v>
      </c>
      <c r="J20" s="132" t="s">
        <v>13</v>
      </c>
      <c r="K20" s="65"/>
      <c r="L20" s="133" t="s">
        <v>13</v>
      </c>
      <c r="M20" s="134">
        <v>113.83</v>
      </c>
      <c r="O20" s="58">
        <f>H20*POWER(DATOS!$E$11,I20)</f>
        <v>52.318332962555978</v>
      </c>
      <c r="P20" s="138">
        <f>ROUND(IF(AND(L20="-",M20="-"),O20,IF(O20&lt;SUM(L20),L20,IF(O20&gt;SUM(M20),M20,O20))),2)</f>
        <v>52.32</v>
      </c>
      <c r="R20" s="108"/>
      <c r="S20" s="329"/>
    </row>
    <row r="21" spans="2:19" ht="20.100000000000001" customHeight="1" thickBot="1">
      <c r="B21" s="395"/>
      <c r="C21" s="273" t="s">
        <v>142</v>
      </c>
      <c r="D21" s="240" t="s">
        <v>77</v>
      </c>
      <c r="E21" s="241" t="s">
        <v>15</v>
      </c>
      <c r="F21" s="242" t="s">
        <v>78</v>
      </c>
      <c r="G21" s="65"/>
      <c r="H21" s="283">
        <v>7.7899999999999997E-2</v>
      </c>
      <c r="I21" s="284"/>
      <c r="J21" s="285"/>
      <c r="K21" s="65"/>
      <c r="L21" s="246" t="s">
        <v>13</v>
      </c>
      <c r="M21" s="247" t="s">
        <v>13</v>
      </c>
      <c r="R21" s="108"/>
      <c r="S21" s="329"/>
    </row>
    <row r="22" spans="2:19" ht="6.75" customHeight="1" thickBot="1">
      <c r="B22" s="330"/>
      <c r="F22" s="65"/>
      <c r="G22" s="65"/>
      <c r="H22" s="102"/>
      <c r="I22" s="102"/>
      <c r="J22" s="102"/>
      <c r="K22" s="65"/>
      <c r="L22" s="65"/>
      <c r="M22" s="103"/>
    </row>
    <row r="23" spans="2:19" ht="20.100000000000001" customHeight="1">
      <c r="B23" s="391" t="s">
        <v>85</v>
      </c>
      <c r="C23" s="402" t="s">
        <v>143</v>
      </c>
      <c r="D23" s="275" t="s">
        <v>36</v>
      </c>
      <c r="E23" s="276" t="s">
        <v>172</v>
      </c>
      <c r="F23" s="277" t="s">
        <v>86</v>
      </c>
      <c r="G23" s="65"/>
      <c r="H23" s="286" t="s">
        <v>74</v>
      </c>
      <c r="I23" s="287"/>
      <c r="J23" s="288"/>
      <c r="K23" s="65"/>
      <c r="L23" s="281" t="s">
        <v>13</v>
      </c>
      <c r="M23" s="277" t="s">
        <v>13</v>
      </c>
      <c r="O23" s="147">
        <f>IF($R$23=1,C91,IF($R$23=2,C92,IF($R$23=3,C93,IF($R$23=4,C94,C95))))</f>
        <v>5.1832289574004133E-2</v>
      </c>
      <c r="R23" s="135">
        <f>DATOS!$E$24</f>
        <v>5</v>
      </c>
      <c r="S23" s="329"/>
    </row>
    <row r="24" spans="2:19" ht="20.100000000000001" customHeight="1" thickBot="1">
      <c r="B24" s="392"/>
      <c r="C24" s="403"/>
      <c r="D24" s="110" t="s">
        <v>39</v>
      </c>
      <c r="E24" s="65" t="s">
        <v>87</v>
      </c>
      <c r="F24" s="72" t="s">
        <v>86</v>
      </c>
      <c r="G24" s="65"/>
      <c r="H24" s="76" t="s">
        <v>74</v>
      </c>
      <c r="I24" s="77"/>
      <c r="J24" s="78"/>
      <c r="K24" s="65"/>
      <c r="L24" s="79" t="s">
        <v>13</v>
      </c>
      <c r="M24" s="71" t="s">
        <v>13</v>
      </c>
      <c r="O24" s="137">
        <f>IF($R$23=1,D91,IF($R$23=2,D92,IF($R$23=3,D93,IF($R$23=4,D94,D95))))</f>
        <v>8667.9109829531953</v>
      </c>
      <c r="R24" s="108"/>
      <c r="S24" s="329"/>
    </row>
    <row r="25" spans="2:19" ht="20.100000000000001" customHeight="1" thickBot="1">
      <c r="B25" s="393"/>
      <c r="C25" s="273" t="s">
        <v>88</v>
      </c>
      <c r="D25" s="289" t="s">
        <v>37</v>
      </c>
      <c r="E25" s="241" t="s">
        <v>51</v>
      </c>
      <c r="F25" s="242" t="s">
        <v>171</v>
      </c>
      <c r="G25" s="65"/>
      <c r="H25" s="243">
        <v>506.1413</v>
      </c>
      <c r="I25" s="244">
        <v>-0.31490000000000001</v>
      </c>
      <c r="J25" s="290" t="s">
        <v>13</v>
      </c>
      <c r="K25" s="65"/>
      <c r="L25" s="291" t="s">
        <v>13</v>
      </c>
      <c r="M25" s="292">
        <v>128.37</v>
      </c>
      <c r="O25" s="58">
        <f>H25*POWER(DATOS!$E$11,I25)</f>
        <v>32.879282056641586</v>
      </c>
      <c r="P25" s="138">
        <f>ROUND(IF(AND(L25="-",M25="-"),O25,IF(O25&lt;SUM(L25),L25,IF(O25&gt;SUM(M25),M25,O25))),2)</f>
        <v>32.880000000000003</v>
      </c>
      <c r="R25" s="108"/>
      <c r="S25" s="329"/>
    </row>
    <row r="26" spans="2:19" ht="6.75" customHeight="1" thickBot="1">
      <c r="B26" s="330"/>
      <c r="F26" s="65"/>
      <c r="G26" s="65"/>
      <c r="H26" s="102"/>
      <c r="I26" s="102"/>
      <c r="J26" s="102"/>
      <c r="K26" s="65"/>
      <c r="L26" s="65"/>
      <c r="M26" s="103"/>
    </row>
    <row r="27" spans="2:19" ht="20.100000000000001" customHeight="1">
      <c r="B27" s="391" t="s">
        <v>145</v>
      </c>
      <c r="C27" s="402" t="s">
        <v>144</v>
      </c>
      <c r="D27" s="275" t="s">
        <v>36</v>
      </c>
      <c r="E27" s="276" t="s">
        <v>89</v>
      </c>
      <c r="F27" s="277" t="s">
        <v>90</v>
      </c>
      <c r="G27" s="65"/>
      <c r="H27" s="286" t="s">
        <v>91</v>
      </c>
      <c r="I27" s="287"/>
      <c r="J27" s="288"/>
      <c r="K27" s="65"/>
      <c r="L27" s="293" t="s">
        <v>13</v>
      </c>
      <c r="M27" s="294" t="s">
        <v>13</v>
      </c>
      <c r="O27" s="148">
        <f>ROUND(((DATOS!$G$11*DATOS!$E$17)/1.5)/DATOS!$G$11,4)</f>
        <v>0.57269999999999999</v>
      </c>
      <c r="R27" s="108"/>
      <c r="S27" s="329"/>
    </row>
    <row r="28" spans="2:19" ht="20.100000000000001" customHeight="1" thickBot="1">
      <c r="B28" s="392"/>
      <c r="C28" s="404"/>
      <c r="D28" s="150" t="s">
        <v>39</v>
      </c>
      <c r="E28" s="151" t="s">
        <v>92</v>
      </c>
      <c r="F28" s="152" t="s">
        <v>133</v>
      </c>
      <c r="G28" s="65"/>
      <c r="H28" s="80">
        <v>14107.981599999999</v>
      </c>
      <c r="I28" s="153">
        <v>-0.23139999999999999</v>
      </c>
      <c r="J28" s="69" t="s">
        <v>13</v>
      </c>
      <c r="K28" s="65"/>
      <c r="L28" s="81" t="s">
        <v>13</v>
      </c>
      <c r="M28" s="154">
        <v>5147.7299999999996</v>
      </c>
      <c r="O28" s="58">
        <f>H28*POWER(DATOS!$E$11,I28)</f>
        <v>1892.1572337631899</v>
      </c>
      <c r="P28" s="149">
        <f t="shared" ref="P28" si="1">ROUND(IF(AND(L28="-",M28="-"),O28,IF(O28&lt;SUM(L28),L28,IF(O28&gt;M28,M28,O28))),2)</f>
        <v>1892.16</v>
      </c>
      <c r="R28" s="108"/>
      <c r="S28" s="329"/>
    </row>
    <row r="29" spans="2:19" ht="20.100000000000001" customHeight="1">
      <c r="B29" s="392"/>
      <c r="C29" s="295" t="s">
        <v>93</v>
      </c>
      <c r="D29" s="297" t="s">
        <v>36</v>
      </c>
      <c r="E29" s="298" t="s">
        <v>89</v>
      </c>
      <c r="F29" s="299" t="s">
        <v>90</v>
      </c>
      <c r="G29" s="65"/>
      <c r="H29" s="300" t="s">
        <v>91</v>
      </c>
      <c r="I29" s="301"/>
      <c r="J29" s="302"/>
      <c r="K29" s="65"/>
      <c r="L29" s="303" t="s">
        <v>13</v>
      </c>
      <c r="M29" s="304" t="s">
        <v>13</v>
      </c>
      <c r="O29" s="148">
        <f>ROUND((1-DATOS!$E$17),4)</f>
        <v>0.1409</v>
      </c>
      <c r="R29" s="108"/>
      <c r="S29" s="329"/>
    </row>
    <row r="30" spans="2:19" ht="20.100000000000001" customHeight="1" thickBot="1">
      <c r="B30" s="392"/>
      <c r="C30" s="296" t="s">
        <v>42</v>
      </c>
      <c r="D30" s="155" t="s">
        <v>39</v>
      </c>
      <c r="E30" s="156" t="s">
        <v>92</v>
      </c>
      <c r="F30" s="157" t="s">
        <v>78</v>
      </c>
      <c r="G30" s="65"/>
      <c r="H30" s="158">
        <v>316.53990597323462</v>
      </c>
      <c r="I30" s="159" t="s">
        <v>13</v>
      </c>
      <c r="J30" s="160" t="s">
        <v>13</v>
      </c>
      <c r="K30" s="65"/>
      <c r="L30" s="161" t="s">
        <v>13</v>
      </c>
      <c r="M30" s="162" t="s">
        <v>13</v>
      </c>
      <c r="O30" s="137">
        <f>H30</f>
        <v>316.53990597323462</v>
      </c>
      <c r="R30" s="108"/>
      <c r="S30" s="329"/>
    </row>
    <row r="31" spans="2:19" ht="20.100000000000001" customHeight="1" thickBot="1">
      <c r="B31" s="393"/>
      <c r="C31" s="274" t="s">
        <v>146</v>
      </c>
      <c r="D31" s="264" t="s">
        <v>37</v>
      </c>
      <c r="E31" s="233" t="s">
        <v>51</v>
      </c>
      <c r="F31" s="234" t="s">
        <v>171</v>
      </c>
      <c r="G31" s="65"/>
      <c r="H31" s="235">
        <v>150.67250000000001</v>
      </c>
      <c r="I31" s="236">
        <v>-0.27939999999999998</v>
      </c>
      <c r="J31" s="237" t="s">
        <v>13</v>
      </c>
      <c r="K31" s="65"/>
      <c r="L31" s="238" t="s">
        <v>13</v>
      </c>
      <c r="M31" s="239">
        <v>44.61</v>
      </c>
      <c r="O31" s="58">
        <f>H31*POWER(DATOS!$E$11,I31)</f>
        <v>13.321079981651394</v>
      </c>
      <c r="P31" s="138">
        <f>ROUND(IF(AND(L31="-",M31="-"),O31,IF(O31&lt;SUM(L31),L31,IF(O31&gt;SUM(M31),M31,O31))),2)</f>
        <v>13.32</v>
      </c>
      <c r="R31" s="108"/>
      <c r="S31" s="329"/>
    </row>
    <row r="32" spans="2:19" ht="6.75" customHeight="1" thickBot="1">
      <c r="B32" s="330"/>
      <c r="F32" s="65"/>
      <c r="G32" s="65"/>
      <c r="H32" s="102"/>
      <c r="I32" s="102"/>
      <c r="J32" s="102"/>
      <c r="K32" s="65"/>
      <c r="L32" s="104"/>
      <c r="M32" s="105"/>
    </row>
    <row r="33" spans="2:19" ht="20.100000000000001" customHeight="1">
      <c r="B33" s="331" t="s">
        <v>147</v>
      </c>
      <c r="C33" s="389" t="s">
        <v>149</v>
      </c>
      <c r="D33" s="163" t="s">
        <v>36</v>
      </c>
      <c r="E33" s="164" t="s">
        <v>150</v>
      </c>
      <c r="F33" s="165" t="s">
        <v>78</v>
      </c>
      <c r="G33" s="65"/>
      <c r="H33" s="166">
        <v>0.73490220432813247</v>
      </c>
      <c r="I33" s="167" t="s">
        <v>13</v>
      </c>
      <c r="J33" s="168" t="s">
        <v>13</v>
      </c>
      <c r="K33" s="65"/>
      <c r="L33" s="169" t="s">
        <v>13</v>
      </c>
      <c r="M33" s="170" t="s">
        <v>13</v>
      </c>
      <c r="O33" s="148">
        <f>H33</f>
        <v>0.73490220432813247</v>
      </c>
      <c r="R33" s="108"/>
      <c r="S33" s="329"/>
    </row>
    <row r="34" spans="2:19" ht="20.100000000000001" customHeight="1" thickBot="1">
      <c r="B34" s="332" t="s">
        <v>148</v>
      </c>
      <c r="C34" s="390"/>
      <c r="D34" s="305" t="s">
        <v>39</v>
      </c>
      <c r="E34" s="306" t="s">
        <v>51</v>
      </c>
      <c r="F34" s="307" t="s">
        <v>173</v>
      </c>
      <c r="G34" s="65"/>
      <c r="H34" s="308">
        <v>6579.2918</v>
      </c>
      <c r="I34" s="309">
        <v>-0.1313</v>
      </c>
      <c r="J34" s="310" t="s">
        <v>13</v>
      </c>
      <c r="K34" s="65"/>
      <c r="L34" s="311" t="s">
        <v>13</v>
      </c>
      <c r="M34" s="312">
        <v>3713.29</v>
      </c>
      <c r="O34" s="58">
        <f>H34*POWER(DATOS!$E$11,I34)</f>
        <v>2104.2850802977819</v>
      </c>
      <c r="P34" s="149">
        <f>ROUND(IF(AND(L34="-",M34="-"),O34,IF(O34&lt;SUM(L34),L34,IF(O34&gt;SUM(M34),M34,O34))),2)</f>
        <v>2104.29</v>
      </c>
      <c r="R34" s="108"/>
      <c r="S34" s="329"/>
    </row>
    <row r="35" spans="2:19" ht="6.75" customHeight="1" thickBot="1">
      <c r="B35" s="330"/>
      <c r="F35" s="65"/>
      <c r="G35" s="65"/>
      <c r="H35" s="102"/>
      <c r="I35" s="102"/>
      <c r="J35" s="102"/>
      <c r="K35" s="65"/>
      <c r="L35" s="104"/>
      <c r="M35" s="105"/>
    </row>
    <row r="36" spans="2:19" ht="20.100000000000001" customHeight="1" thickBot="1">
      <c r="B36" s="333" t="s">
        <v>151</v>
      </c>
      <c r="C36" s="274" t="s">
        <v>152</v>
      </c>
      <c r="D36" s="171" t="s">
        <v>37</v>
      </c>
      <c r="E36" s="172" t="s">
        <v>51</v>
      </c>
      <c r="F36" s="83" t="s">
        <v>136</v>
      </c>
      <c r="G36" s="65"/>
      <c r="H36" s="84">
        <v>103.8353</v>
      </c>
      <c r="I36" s="173">
        <v>0.49130000000000001</v>
      </c>
      <c r="J36" s="174" t="s">
        <v>13</v>
      </c>
      <c r="K36" s="65"/>
      <c r="L36" s="87" t="s">
        <v>13</v>
      </c>
      <c r="M36" s="88">
        <v>1854.66</v>
      </c>
      <c r="O36" s="58">
        <f>H36*POWER(DATOS!$E$26,I36)</f>
        <v>883.82917162021374</v>
      </c>
      <c r="P36" s="138">
        <f>ROUND(IF(AND(L36="-",M36="-"),O36,IF(O36&lt;SUM(L36),L36,IF(O36&gt;SUM(M36),M36,O36))),2)</f>
        <v>883.83</v>
      </c>
      <c r="R36" s="108"/>
      <c r="S36" s="329"/>
    </row>
    <row r="37" spans="2:19" ht="6.75" customHeight="1" thickBot="1">
      <c r="B37" s="330"/>
      <c r="F37" s="65"/>
      <c r="G37" s="65"/>
      <c r="H37" s="102"/>
      <c r="I37" s="102"/>
      <c r="J37" s="102"/>
      <c r="K37" s="65"/>
      <c r="L37" s="104"/>
      <c r="M37" s="105"/>
    </row>
    <row r="38" spans="2:19" ht="20.100000000000001" customHeight="1">
      <c r="B38" s="391" t="s">
        <v>94</v>
      </c>
      <c r="C38" s="389" t="s">
        <v>95</v>
      </c>
      <c r="D38" s="313" t="s">
        <v>36</v>
      </c>
      <c r="E38" s="298" t="s">
        <v>150</v>
      </c>
      <c r="F38" s="299" t="s">
        <v>86</v>
      </c>
      <c r="G38" s="65"/>
      <c r="H38" s="314" t="s">
        <v>74</v>
      </c>
      <c r="I38" s="315"/>
      <c r="J38" s="316"/>
      <c r="K38" s="65"/>
      <c r="L38" s="303" t="s">
        <v>13</v>
      </c>
      <c r="M38" s="304" t="s">
        <v>13</v>
      </c>
      <c r="O38" s="177">
        <f>IF($R$23=1,C102,IF($R$23=2,C103,IF($R$23=3,C104,IF($R$23=4,C105,C106))))</f>
        <v>0.91712598667517897</v>
      </c>
      <c r="R38" s="135">
        <f>DATOS!$E$24</f>
        <v>5</v>
      </c>
      <c r="S38" s="329"/>
    </row>
    <row r="39" spans="2:19" ht="20.100000000000001" customHeight="1" thickBot="1">
      <c r="B39" s="392"/>
      <c r="C39" s="390"/>
      <c r="D39" s="110" t="s">
        <v>39</v>
      </c>
      <c r="E39" s="65" t="s">
        <v>51</v>
      </c>
      <c r="F39" s="352" t="s">
        <v>523</v>
      </c>
      <c r="G39" s="65"/>
      <c r="H39" s="89">
        <v>5.0500000000000003E-2</v>
      </c>
      <c r="I39" s="90">
        <v>0.75700000000000001</v>
      </c>
      <c r="J39" s="351"/>
      <c r="K39" s="65"/>
      <c r="L39" s="106" t="s">
        <v>13</v>
      </c>
      <c r="M39" s="82">
        <v>683.83</v>
      </c>
      <c r="O39" s="109">
        <f>H39*POWER(DATOS!E34,I39)</f>
        <v>287.457517705155</v>
      </c>
      <c r="P39" s="149">
        <f>ROUND(IF(AND(L39="-",M39="-"),O39,IF(O39&lt;SUM(L39),L39,IF(O39&gt;SUM(M39),M39,O39))),2)</f>
        <v>287.45999999999998</v>
      </c>
      <c r="R39" s="108"/>
      <c r="S39" s="329"/>
    </row>
    <row r="40" spans="2:19" ht="20.100000000000001" customHeight="1" thickBot="1">
      <c r="B40" s="393"/>
      <c r="C40" s="274" t="s">
        <v>43</v>
      </c>
      <c r="D40" s="233" t="s">
        <v>37</v>
      </c>
      <c r="E40" s="265" t="s">
        <v>51</v>
      </c>
      <c r="F40" s="266" t="s">
        <v>78</v>
      </c>
      <c r="G40" s="317"/>
      <c r="H40" s="335">
        <v>53.583991127786071</v>
      </c>
      <c r="I40" s="236" t="s">
        <v>13</v>
      </c>
      <c r="J40" s="318" t="s">
        <v>13</v>
      </c>
      <c r="K40" s="317"/>
      <c r="L40" s="238" t="s">
        <v>13</v>
      </c>
      <c r="M40" s="239" t="s">
        <v>13</v>
      </c>
      <c r="O40" s="109"/>
      <c r="P40" s="138"/>
      <c r="R40" s="108"/>
      <c r="S40" s="329"/>
    </row>
    <row r="41" spans="2:19" ht="6.75" customHeight="1" thickBot="1">
      <c r="B41" s="330"/>
      <c r="F41" s="65"/>
      <c r="G41" s="65"/>
      <c r="H41" s="102"/>
      <c r="I41" s="102"/>
      <c r="J41" s="102"/>
      <c r="K41" s="65"/>
      <c r="L41" s="65"/>
      <c r="M41" s="103"/>
    </row>
    <row r="42" spans="2:19" ht="20.100000000000001" customHeight="1">
      <c r="B42" s="405" t="s">
        <v>154</v>
      </c>
      <c r="C42" s="389" t="s">
        <v>155</v>
      </c>
      <c r="D42" s="163" t="s">
        <v>36</v>
      </c>
      <c r="E42" s="164" t="s">
        <v>156</v>
      </c>
      <c r="F42" s="165" t="s">
        <v>73</v>
      </c>
      <c r="G42" s="65"/>
      <c r="H42" s="202" t="s">
        <v>74</v>
      </c>
      <c r="I42" s="203"/>
      <c r="J42" s="204"/>
      <c r="K42" s="65"/>
      <c r="L42" s="169" t="s">
        <v>13</v>
      </c>
      <c r="M42" s="170" t="s">
        <v>13</v>
      </c>
      <c r="O42" s="181">
        <f>IF($R$42=1,C113,IF($R$42=2,C114,IF($R$42=3,C115,IF($R$42=4,C116,IF($R$42=5,C117,C118)))))</f>
        <v>0.25577729363801432</v>
      </c>
      <c r="P42" s="54"/>
      <c r="R42" s="135">
        <f>IF(DATOS!$E$11&lt;1000,1,IF(DATOS!$E$11&gt;=60000,6,IF(AND(DATOS!$E$11&gt;=1000,DATOS!$E$11&lt;3000),2,IF(AND(DATOS!$E$11&gt;=3000,DATOS!$E$11&lt;6000),3,IF(AND(DATOS!$E$11&gt;=6000,DATOS!$E$11&lt;20000),4,5)))))</f>
        <v>3</v>
      </c>
      <c r="S42" s="329"/>
    </row>
    <row r="43" spans="2:19" ht="20.100000000000001" customHeight="1" thickBot="1">
      <c r="B43" s="406"/>
      <c r="C43" s="390"/>
      <c r="D43" s="305" t="s">
        <v>39</v>
      </c>
      <c r="E43" s="306" t="s">
        <v>174</v>
      </c>
      <c r="F43" s="307" t="s">
        <v>78</v>
      </c>
      <c r="G43" s="65"/>
      <c r="H43" s="308">
        <v>142.96408321951421</v>
      </c>
      <c r="I43" s="309" t="s">
        <v>13</v>
      </c>
      <c r="J43" s="310" t="s">
        <v>13</v>
      </c>
      <c r="K43" s="65"/>
      <c r="L43" s="311" t="s">
        <v>13</v>
      </c>
      <c r="M43" s="312" t="s">
        <v>13</v>
      </c>
      <c r="O43" s="137">
        <f>H43</f>
        <v>142.96408321951421</v>
      </c>
      <c r="S43" s="329"/>
    </row>
    <row r="44" spans="2:19" ht="6.75" customHeight="1" thickBot="1">
      <c r="B44" s="330"/>
      <c r="F44" s="65"/>
      <c r="G44" s="65"/>
      <c r="H44" s="102"/>
      <c r="I44" s="102"/>
      <c r="J44" s="102"/>
      <c r="K44" s="65"/>
      <c r="L44" s="65"/>
      <c r="M44" s="103"/>
    </row>
    <row r="45" spans="2:19" ht="20.100000000000001" customHeight="1" thickBot="1">
      <c r="B45" s="334" t="s">
        <v>96</v>
      </c>
      <c r="C45" s="274" t="s">
        <v>153</v>
      </c>
      <c r="D45" s="193" t="s">
        <v>37</v>
      </c>
      <c r="E45" s="194" t="s">
        <v>51</v>
      </c>
      <c r="F45" s="195" t="s">
        <v>76</v>
      </c>
      <c r="G45" s="196"/>
      <c r="H45" s="197">
        <v>17064.431499999999</v>
      </c>
      <c r="I45" s="198">
        <v>-0.48549999999999999</v>
      </c>
      <c r="J45" s="199" t="s">
        <v>13</v>
      </c>
      <c r="K45" s="65"/>
      <c r="L45" s="200" t="s">
        <v>13</v>
      </c>
      <c r="M45" s="201">
        <v>2058.25</v>
      </c>
      <c r="O45" s="58">
        <f>H45*POWER(DATOS!$E$11,I45)</f>
        <v>252.04888487594758</v>
      </c>
      <c r="P45" s="138">
        <f>ROUND(IF(AND(L45="-",M45="-"),O45,IF(O45&lt;SUM(L45),L45,IF(O45&gt;SUM(M45),M45,O45))),2)</f>
        <v>252.05</v>
      </c>
      <c r="R45" s="108"/>
      <c r="S45" s="329"/>
    </row>
    <row r="46" spans="2:19" ht="6.75" customHeight="1" thickBot="1">
      <c r="B46" s="330"/>
      <c r="F46" s="65"/>
      <c r="G46" s="65"/>
      <c r="H46" s="102"/>
      <c r="I46" s="102"/>
      <c r="J46" s="102"/>
      <c r="K46" s="65"/>
      <c r="L46" s="65"/>
      <c r="M46" s="103"/>
    </row>
    <row r="47" spans="2:19" ht="20.100000000000001" customHeight="1">
      <c r="B47" s="331" t="s">
        <v>97</v>
      </c>
      <c r="C47" s="319" t="s">
        <v>98</v>
      </c>
      <c r="D47" s="182" t="s">
        <v>37</v>
      </c>
      <c r="E47" s="183" t="s">
        <v>51</v>
      </c>
      <c r="F47" s="67" t="s">
        <v>99</v>
      </c>
      <c r="G47" s="65"/>
      <c r="H47" s="73" t="s">
        <v>74</v>
      </c>
      <c r="I47" s="74"/>
      <c r="J47" s="75"/>
      <c r="K47" s="65"/>
      <c r="L47" s="66" t="s">
        <v>13</v>
      </c>
      <c r="M47" s="67" t="s">
        <v>13</v>
      </c>
      <c r="O47" s="138">
        <f>IF(DATOS!E42=1,'BASE DATOS'!D124,IF(DATOS!E42=2,'BASE DATOS'!D125,'BASE DATOS'!D126))</f>
        <v>180.12652231149283</v>
      </c>
      <c r="R47" s="108"/>
    </row>
    <row r="48" spans="2:19" ht="20.100000000000001" customHeight="1" thickBot="1">
      <c r="B48" s="332" t="s">
        <v>158</v>
      </c>
      <c r="C48" s="320" t="s">
        <v>100</v>
      </c>
      <c r="D48" s="321" t="s">
        <v>37</v>
      </c>
      <c r="E48" s="322" t="s">
        <v>51</v>
      </c>
      <c r="F48" s="323" t="s">
        <v>175</v>
      </c>
      <c r="G48" s="65"/>
      <c r="H48" s="324">
        <v>447.79610000000002</v>
      </c>
      <c r="I48" s="325">
        <v>0.24049999999999999</v>
      </c>
      <c r="J48" s="326" t="s">
        <v>13</v>
      </c>
      <c r="K48" s="65"/>
      <c r="L48" s="327">
        <v>141.19999999999999</v>
      </c>
      <c r="M48" s="328">
        <v>1116.9506374245202</v>
      </c>
      <c r="O48" s="58">
        <f>IF(DATOS!E46=0,L48,H48*POWER(DATOS!E46,I48))</f>
        <v>718.20485861720567</v>
      </c>
      <c r="P48" s="138">
        <f>ROUND(IF(AND(L48="-",M48="-"),O48,IF(O48&lt;SUM(L48),L48,IF(O48&gt;M48,M48,O48))),2)</f>
        <v>718.2</v>
      </c>
      <c r="R48" s="108"/>
    </row>
    <row r="50" spans="16:16">
      <c r="P50" s="53"/>
    </row>
    <row r="73" spans="1:14" s="53" customFormat="1" hidden="1">
      <c r="A73" s="52"/>
      <c r="B73" s="52"/>
      <c r="C73" s="52"/>
      <c r="H73" s="54"/>
      <c r="I73" s="54"/>
      <c r="J73" s="54"/>
      <c r="M73" s="52"/>
      <c r="N73" s="52"/>
    </row>
    <row r="74" spans="1:14" s="53" customFormat="1" hidden="1">
      <c r="A74" s="52"/>
      <c r="B74" s="59" t="s">
        <v>140</v>
      </c>
      <c r="H74" s="54"/>
      <c r="I74" s="54"/>
      <c r="J74" s="54"/>
      <c r="M74" s="52"/>
      <c r="N74" s="52"/>
    </row>
    <row r="75" spans="1:14" s="53" customFormat="1" hidden="1">
      <c r="A75" s="52"/>
      <c r="B75" s="60" t="s">
        <v>101</v>
      </c>
      <c r="H75" s="54"/>
      <c r="I75" s="54"/>
      <c r="J75" s="54"/>
      <c r="M75" s="52"/>
      <c r="N75" s="52"/>
    </row>
    <row r="76" spans="1:14" s="53" customFormat="1" ht="12.75" hidden="1" thickBot="1">
      <c r="A76" s="52"/>
      <c r="B76" s="52"/>
      <c r="H76" s="54"/>
      <c r="I76" s="54"/>
      <c r="J76" s="54"/>
      <c r="M76" s="52"/>
      <c r="N76" s="52"/>
    </row>
    <row r="77" spans="1:14" s="53" customFormat="1" ht="12.75" hidden="1" thickBot="1">
      <c r="A77" s="52"/>
      <c r="B77" s="61" t="s">
        <v>46</v>
      </c>
      <c r="C77" s="141" t="s">
        <v>41</v>
      </c>
      <c r="D77" s="65"/>
      <c r="H77" s="54"/>
      <c r="I77" s="54"/>
      <c r="J77" s="54"/>
      <c r="M77" s="52"/>
      <c r="N77" s="52"/>
    </row>
    <row r="78" spans="1:14" s="53" customFormat="1" ht="12.75" hidden="1" thickBot="1">
      <c r="A78" s="52"/>
      <c r="B78" s="56" t="s">
        <v>102</v>
      </c>
      <c r="C78" s="68" t="s">
        <v>52</v>
      </c>
      <c r="D78" s="65"/>
      <c r="H78" s="54"/>
      <c r="I78" s="54"/>
      <c r="J78" s="54"/>
      <c r="M78" s="52"/>
      <c r="N78" s="52"/>
    </row>
    <row r="79" spans="1:14" s="53" customFormat="1" hidden="1">
      <c r="A79" s="52"/>
      <c r="B79" s="65" t="s">
        <v>44</v>
      </c>
      <c r="C79" s="104">
        <v>1744.74</v>
      </c>
      <c r="D79" s="65"/>
      <c r="H79" s="54"/>
      <c r="I79" s="54"/>
      <c r="J79" s="54"/>
      <c r="M79" s="52"/>
      <c r="N79" s="52"/>
    </row>
    <row r="80" spans="1:14" s="53" customFormat="1" hidden="1">
      <c r="A80" s="52"/>
      <c r="B80" s="65" t="s">
        <v>118</v>
      </c>
      <c r="C80" s="104">
        <v>1786.82</v>
      </c>
      <c r="D80" s="65"/>
      <c r="H80" s="54"/>
      <c r="I80" s="54"/>
      <c r="J80" s="54"/>
      <c r="M80" s="52"/>
      <c r="N80" s="52"/>
    </row>
    <row r="81" spans="1:14" s="53" customFormat="1" hidden="1">
      <c r="A81" s="52"/>
      <c r="B81" s="65" t="s">
        <v>119</v>
      </c>
      <c r="C81" s="104">
        <v>1757.23</v>
      </c>
      <c r="D81" s="65"/>
      <c r="H81" s="54"/>
      <c r="I81" s="54"/>
      <c r="J81" s="54"/>
      <c r="M81" s="52"/>
      <c r="N81" s="52"/>
    </row>
    <row r="82" spans="1:14" s="53" customFormat="1" hidden="1">
      <c r="A82" s="52"/>
      <c r="B82" s="65" t="s">
        <v>120</v>
      </c>
      <c r="C82" s="104">
        <v>1949.9</v>
      </c>
      <c r="D82" s="65"/>
      <c r="H82" s="54"/>
      <c r="I82" s="54"/>
      <c r="J82" s="54"/>
      <c r="M82" s="52"/>
      <c r="N82" s="52"/>
    </row>
    <row r="83" spans="1:14" s="53" customFormat="1" hidden="1">
      <c r="A83" s="52"/>
      <c r="B83" s="65" t="s">
        <v>121</v>
      </c>
      <c r="C83" s="104">
        <v>1919.3</v>
      </c>
      <c r="D83" s="65"/>
      <c r="H83" s="54"/>
      <c r="I83" s="54"/>
      <c r="J83" s="54"/>
      <c r="M83" s="52"/>
      <c r="N83" s="52"/>
    </row>
    <row r="84" spans="1:14" s="53" customFormat="1" ht="12.75" hidden="1" thickBot="1">
      <c r="A84" s="52"/>
      <c r="B84" s="68" t="s">
        <v>122</v>
      </c>
      <c r="C84" s="146">
        <v>2049.0100000000002</v>
      </c>
      <c r="D84" s="65"/>
      <c r="H84" s="54"/>
      <c r="I84" s="54"/>
      <c r="J84" s="54"/>
      <c r="M84" s="52"/>
      <c r="N84" s="52"/>
    </row>
    <row r="85" spans="1:14" hidden="1">
      <c r="C85" s="65"/>
      <c r="D85" s="65"/>
    </row>
    <row r="86" spans="1:14" s="53" customFormat="1" hidden="1">
      <c r="A86" s="52"/>
      <c r="B86" s="59" t="s">
        <v>22</v>
      </c>
      <c r="C86" s="65"/>
      <c r="D86" s="65"/>
      <c r="H86" s="54"/>
      <c r="I86" s="54"/>
      <c r="J86" s="54"/>
      <c r="M86" s="52"/>
      <c r="N86" s="52"/>
    </row>
    <row r="87" spans="1:14" s="53" customFormat="1" hidden="1">
      <c r="A87" s="52"/>
      <c r="B87" s="60" t="s">
        <v>103</v>
      </c>
      <c r="C87" s="65"/>
      <c r="D87" s="65"/>
      <c r="H87" s="54"/>
      <c r="I87" s="54"/>
      <c r="J87" s="54"/>
      <c r="M87" s="52"/>
      <c r="N87" s="52"/>
    </row>
    <row r="88" spans="1:14" s="53" customFormat="1" ht="12.75" hidden="1" thickBot="1">
      <c r="A88" s="52"/>
      <c r="B88" s="52"/>
      <c r="C88" s="65"/>
      <c r="D88" s="103"/>
      <c r="H88" s="54"/>
      <c r="I88" s="54"/>
      <c r="J88" s="54"/>
      <c r="M88" s="52"/>
      <c r="N88" s="52"/>
    </row>
    <row r="89" spans="1:14" s="53" customFormat="1" ht="12.75" hidden="1" thickBot="1">
      <c r="A89" s="52"/>
      <c r="B89" s="103"/>
      <c r="C89" s="141" t="s">
        <v>36</v>
      </c>
      <c r="D89" s="141" t="s">
        <v>41</v>
      </c>
      <c r="H89" s="54"/>
      <c r="I89" s="54"/>
      <c r="J89" s="54"/>
      <c r="M89" s="52"/>
      <c r="N89" s="52"/>
    </row>
    <row r="90" spans="1:14" s="53" customFormat="1" ht="12.75" hidden="1" thickBot="1">
      <c r="A90" s="52"/>
      <c r="B90" s="142" t="s">
        <v>38</v>
      </c>
      <c r="C90" s="68" t="s">
        <v>40</v>
      </c>
      <c r="D90" s="68" t="s">
        <v>57</v>
      </c>
      <c r="H90" s="54"/>
      <c r="I90" s="54"/>
      <c r="J90" s="54"/>
      <c r="M90" s="52"/>
      <c r="N90" s="52"/>
    </row>
    <row r="91" spans="1:14" s="53" customFormat="1" hidden="1">
      <c r="A91" s="52"/>
      <c r="B91" s="103" t="s">
        <v>104</v>
      </c>
      <c r="C91" s="143">
        <v>7.9822191916015958E-2</v>
      </c>
      <c r="D91" s="144">
        <v>8090.6921870737879</v>
      </c>
      <c r="H91" s="54"/>
      <c r="I91" s="54"/>
      <c r="J91" s="54"/>
      <c r="M91" s="52"/>
      <c r="N91" s="52"/>
    </row>
    <row r="92" spans="1:14" s="53" customFormat="1" hidden="1">
      <c r="A92" s="52"/>
      <c r="B92" s="103" t="s">
        <v>105</v>
      </c>
      <c r="C92" s="143">
        <v>0.12748219541255576</v>
      </c>
      <c r="D92" s="106">
        <v>6151.1582641421428</v>
      </c>
      <c r="H92" s="54"/>
      <c r="I92" s="54"/>
      <c r="J92" s="54"/>
      <c r="M92" s="52"/>
      <c r="N92" s="52"/>
    </row>
    <row r="93" spans="1:14" s="53" customFormat="1" hidden="1">
      <c r="A93" s="52"/>
      <c r="B93" s="103" t="s">
        <v>106</v>
      </c>
      <c r="C93" s="143">
        <v>9.8975366223451475E-2</v>
      </c>
      <c r="D93" s="106">
        <v>8000</v>
      </c>
      <c r="H93" s="54"/>
      <c r="I93" s="54"/>
      <c r="J93" s="54"/>
      <c r="M93" s="52"/>
      <c r="N93" s="52"/>
    </row>
    <row r="94" spans="1:14" s="53" customFormat="1" hidden="1">
      <c r="A94" s="52"/>
      <c r="B94" s="103" t="s">
        <v>107</v>
      </c>
      <c r="C94" s="143">
        <v>4.821920701361828E-2</v>
      </c>
      <c r="D94" s="106">
        <v>10000</v>
      </c>
      <c r="H94" s="54"/>
      <c r="I94" s="54"/>
      <c r="J94" s="54"/>
      <c r="M94" s="52"/>
      <c r="N94" s="52"/>
    </row>
    <row r="95" spans="1:14" s="53" customFormat="1" ht="12.75" hidden="1" thickBot="1">
      <c r="A95" s="52"/>
      <c r="B95" s="142" t="s">
        <v>108</v>
      </c>
      <c r="C95" s="145">
        <v>5.1832289574004133E-2</v>
      </c>
      <c r="D95" s="81">
        <v>8667.9109829531953</v>
      </c>
      <c r="H95" s="54"/>
      <c r="I95" s="54"/>
      <c r="J95" s="54"/>
      <c r="M95" s="52"/>
      <c r="N95" s="52"/>
    </row>
    <row r="96" spans="1:14" hidden="1">
      <c r="C96" s="65"/>
      <c r="D96" s="65"/>
    </row>
    <row r="97" spans="1:16" s="53" customFormat="1" hidden="1">
      <c r="A97" s="52"/>
      <c r="B97" s="59" t="s">
        <v>94</v>
      </c>
      <c r="C97" s="65"/>
      <c r="D97" s="65"/>
      <c r="H97" s="54"/>
      <c r="I97" s="54"/>
      <c r="J97" s="54"/>
      <c r="M97" s="52"/>
      <c r="N97" s="52"/>
    </row>
    <row r="98" spans="1:16" s="53" customFormat="1" hidden="1">
      <c r="A98" s="52"/>
      <c r="B98" s="60" t="s">
        <v>109</v>
      </c>
      <c r="C98" s="65"/>
      <c r="D98" s="65"/>
      <c r="H98" s="54"/>
      <c r="I98" s="54"/>
      <c r="J98" s="54"/>
      <c r="M98" s="52"/>
      <c r="N98" s="52"/>
    </row>
    <row r="99" spans="1:16" s="53" customFormat="1" ht="12.75" hidden="1" thickBot="1">
      <c r="A99" s="52"/>
      <c r="B99" s="52"/>
      <c r="C99" s="65"/>
      <c r="D99" s="65"/>
      <c r="H99" s="54"/>
      <c r="I99" s="54"/>
      <c r="J99" s="54"/>
      <c r="M99" s="52"/>
      <c r="N99" s="52"/>
    </row>
    <row r="100" spans="1:16" s="53" customFormat="1" ht="12.75" hidden="1" thickBot="1">
      <c r="A100" s="52"/>
      <c r="B100" s="52"/>
      <c r="C100" s="141" t="s">
        <v>36</v>
      </c>
      <c r="D100" s="65"/>
      <c r="H100" s="54"/>
      <c r="I100" s="54"/>
      <c r="J100" s="54"/>
      <c r="M100" s="52"/>
      <c r="N100" s="52"/>
    </row>
    <row r="101" spans="1:16" s="53" customFormat="1" ht="12.75" hidden="1" thickBot="1">
      <c r="A101" s="52"/>
      <c r="B101" s="55" t="s">
        <v>38</v>
      </c>
      <c r="C101" s="68" t="s">
        <v>150</v>
      </c>
      <c r="D101" s="65"/>
      <c r="H101" s="54"/>
      <c r="I101" s="54"/>
      <c r="J101" s="54"/>
      <c r="M101" s="52"/>
      <c r="N101" s="52"/>
    </row>
    <row r="102" spans="1:16" s="53" customFormat="1" hidden="1">
      <c r="A102" s="52"/>
      <c r="B102" s="52" t="s">
        <v>104</v>
      </c>
      <c r="C102" s="191">
        <v>0.78012210292217177</v>
      </c>
      <c r="D102" s="65"/>
      <c r="H102" s="54"/>
      <c r="I102" s="54"/>
      <c r="J102" s="54"/>
      <c r="M102" s="52"/>
      <c r="N102" s="52"/>
    </row>
    <row r="103" spans="1:16" s="53" customFormat="1" hidden="1">
      <c r="A103" s="52"/>
      <c r="B103" s="52" t="s">
        <v>105</v>
      </c>
      <c r="C103" s="191">
        <v>0.68477158397957982</v>
      </c>
      <c r="D103" s="65"/>
      <c r="H103" s="54"/>
      <c r="I103" s="54"/>
      <c r="J103" s="54"/>
      <c r="M103" s="52"/>
      <c r="N103" s="52"/>
    </row>
    <row r="104" spans="1:16" s="53" customFormat="1" hidden="1">
      <c r="A104" s="52"/>
      <c r="B104" s="52" t="s">
        <v>106</v>
      </c>
      <c r="C104" s="191">
        <v>0.57235396443257858</v>
      </c>
      <c r="D104" s="65"/>
      <c r="H104" s="54"/>
      <c r="I104" s="54"/>
      <c r="J104" s="54"/>
      <c r="M104" s="52"/>
      <c r="N104" s="52"/>
    </row>
    <row r="105" spans="1:16" s="53" customFormat="1" hidden="1">
      <c r="A105" s="52"/>
      <c r="B105" s="52" t="s">
        <v>107</v>
      </c>
      <c r="C105" s="191">
        <v>0.70379557179963159</v>
      </c>
      <c r="D105" s="65"/>
      <c r="H105" s="54"/>
      <c r="I105" s="54"/>
      <c r="J105" s="54"/>
      <c r="M105" s="52"/>
      <c r="N105" s="52"/>
    </row>
    <row r="106" spans="1:16" s="53" customFormat="1" ht="12.75" hidden="1" thickBot="1">
      <c r="A106" s="52"/>
      <c r="B106" s="55" t="s">
        <v>108</v>
      </c>
      <c r="C106" s="192">
        <v>0.91712598667517897</v>
      </c>
      <c r="D106" s="65"/>
      <c r="H106" s="54"/>
      <c r="I106" s="54"/>
      <c r="J106" s="54"/>
      <c r="M106" s="52"/>
      <c r="N106" s="52"/>
    </row>
    <row r="107" spans="1:16" hidden="1">
      <c r="C107" s="65"/>
      <c r="D107" s="65"/>
      <c r="P107" s="53"/>
    </row>
    <row r="108" spans="1:16" hidden="1">
      <c r="B108" s="178" t="s">
        <v>154</v>
      </c>
      <c r="C108" s="65"/>
      <c r="D108" s="65"/>
      <c r="P108" s="53"/>
    </row>
    <row r="109" spans="1:16" hidden="1">
      <c r="B109" s="179" t="s">
        <v>137</v>
      </c>
      <c r="C109" s="65"/>
      <c r="D109" s="65"/>
      <c r="P109" s="53"/>
    </row>
    <row r="110" spans="1:16" ht="12.75" hidden="1" thickBot="1">
      <c r="B110" s="103"/>
      <c r="C110" s="65"/>
      <c r="D110" s="65"/>
      <c r="P110" s="53"/>
    </row>
    <row r="111" spans="1:16" ht="12.75" hidden="1" thickBot="1">
      <c r="B111" s="180" t="s">
        <v>46</v>
      </c>
      <c r="C111" s="205" t="s">
        <v>36</v>
      </c>
      <c r="D111" s="65"/>
      <c r="P111" s="53"/>
    </row>
    <row r="112" spans="1:16" ht="12.75" hidden="1" thickBot="1">
      <c r="B112" s="68" t="s">
        <v>102</v>
      </c>
      <c r="C112" s="68" t="s">
        <v>40</v>
      </c>
      <c r="D112" s="65"/>
      <c r="P112" s="53"/>
    </row>
    <row r="113" spans="1:16" hidden="1">
      <c r="B113" s="107" t="s">
        <v>44</v>
      </c>
      <c r="C113" s="206">
        <v>0.21736239971918536</v>
      </c>
      <c r="D113" s="65"/>
      <c r="P113" s="53"/>
    </row>
    <row r="114" spans="1:16" hidden="1">
      <c r="B114" s="65" t="s">
        <v>118</v>
      </c>
      <c r="C114" s="175">
        <v>0.25884035597123151</v>
      </c>
      <c r="D114" s="65"/>
      <c r="P114" s="53"/>
    </row>
    <row r="115" spans="1:16" hidden="1">
      <c r="B115" s="65" t="s">
        <v>119</v>
      </c>
      <c r="C115" s="175">
        <v>0.25577729363801432</v>
      </c>
      <c r="D115" s="65"/>
      <c r="P115" s="53"/>
    </row>
    <row r="116" spans="1:16" hidden="1">
      <c r="B116" s="65" t="s">
        <v>120</v>
      </c>
      <c r="C116" s="175">
        <v>0.36058565121964875</v>
      </c>
      <c r="D116" s="65"/>
      <c r="P116" s="53"/>
    </row>
    <row r="117" spans="1:16" hidden="1">
      <c r="B117" s="65" t="s">
        <v>121</v>
      </c>
      <c r="C117" s="175">
        <v>0.34248516011544949</v>
      </c>
      <c r="D117" s="65"/>
      <c r="P117" s="53"/>
    </row>
    <row r="118" spans="1:16" ht="12.75" hidden="1" thickBot="1">
      <c r="B118" s="68" t="s">
        <v>122</v>
      </c>
      <c r="C118" s="176">
        <v>0.3262177805718906</v>
      </c>
      <c r="D118" s="65"/>
      <c r="P118" s="53"/>
    </row>
    <row r="119" spans="1:16" hidden="1">
      <c r="C119" s="65"/>
      <c r="D119" s="65"/>
      <c r="P119" s="53"/>
    </row>
    <row r="120" spans="1:16" s="53" customFormat="1" hidden="1">
      <c r="A120" s="52"/>
      <c r="B120" s="59" t="s">
        <v>157</v>
      </c>
      <c r="C120" s="65"/>
      <c r="D120" s="65"/>
      <c r="H120" s="54"/>
      <c r="I120" s="54"/>
      <c r="J120" s="54"/>
      <c r="M120" s="52"/>
      <c r="N120" s="52"/>
    </row>
    <row r="121" spans="1:16" s="53" customFormat="1" ht="12.75" hidden="1" thickBot="1">
      <c r="A121" s="52"/>
      <c r="B121" s="52"/>
      <c r="C121" s="65"/>
      <c r="D121" s="65"/>
      <c r="H121" s="54"/>
      <c r="I121" s="54"/>
      <c r="J121" s="54"/>
      <c r="M121" s="52"/>
      <c r="N121" s="52"/>
    </row>
    <row r="122" spans="1:16" s="53" customFormat="1" ht="12.75" hidden="1" thickBot="1">
      <c r="A122" s="52"/>
      <c r="B122" s="52"/>
      <c r="C122" s="65"/>
      <c r="D122" s="141" t="s">
        <v>37</v>
      </c>
      <c r="H122" s="54"/>
      <c r="I122" s="54"/>
      <c r="J122" s="54"/>
      <c r="M122" s="52"/>
      <c r="N122" s="52"/>
    </row>
    <row r="123" spans="1:16" s="53" customFormat="1" ht="12.75" hidden="1" thickBot="1">
      <c r="A123" s="52"/>
      <c r="B123" s="55" t="s">
        <v>110</v>
      </c>
      <c r="C123" s="65"/>
      <c r="D123" s="68" t="s">
        <v>51</v>
      </c>
      <c r="H123" s="54"/>
      <c r="I123" s="54"/>
      <c r="J123" s="54"/>
      <c r="M123" s="52"/>
      <c r="N123" s="52"/>
    </row>
    <row r="124" spans="1:16" s="53" customFormat="1" hidden="1">
      <c r="A124" s="52"/>
      <c r="B124" s="52" t="s">
        <v>111</v>
      </c>
      <c r="C124" s="107"/>
      <c r="D124" s="184">
        <v>89.409688936610394</v>
      </c>
      <c r="H124" s="54"/>
      <c r="I124" s="54"/>
      <c r="J124" s="54"/>
      <c r="M124" s="52"/>
      <c r="N124" s="52"/>
    </row>
    <row r="125" spans="1:16" s="53" customFormat="1" hidden="1">
      <c r="A125" s="52"/>
      <c r="B125" s="52" t="s">
        <v>112</v>
      </c>
      <c r="C125" s="65"/>
      <c r="D125" s="184">
        <v>180.12652231149283</v>
      </c>
      <c r="H125" s="54"/>
      <c r="I125" s="54"/>
      <c r="J125" s="54"/>
      <c r="M125" s="52"/>
      <c r="N125" s="52"/>
    </row>
    <row r="126" spans="1:16" s="53" customFormat="1" ht="12.75" hidden="1" thickBot="1">
      <c r="A126" s="52"/>
      <c r="B126" s="55" t="s">
        <v>113</v>
      </c>
      <c r="C126" s="68"/>
      <c r="D126" s="185">
        <v>254.05839982558334</v>
      </c>
      <c r="H126" s="54"/>
      <c r="I126" s="54"/>
      <c r="J126" s="54"/>
      <c r="M126" s="52"/>
      <c r="N126" s="52"/>
    </row>
    <row r="127" spans="1:16" hidden="1"/>
  </sheetData>
  <sheetProtection algorithmName="SHA-512" hashValue="e8CEG1FoVC4MU8CSrPBfUm8lIM4F35HDulAZRH3NaC4TdboBj0Z6GMJA4a/pK5sxQQ71SfGDqaY4PbFvfCeNCw==" saltValue="FITYi09dVTiC3Jgy3FZUXg==" spinCount="100000" sheet="1" objects="1" scenarios="1"/>
  <mergeCells count="13">
    <mergeCell ref="C42:C43"/>
    <mergeCell ref="B7:B10"/>
    <mergeCell ref="B12:B21"/>
    <mergeCell ref="C12:C15"/>
    <mergeCell ref="C16:C19"/>
    <mergeCell ref="B23:B25"/>
    <mergeCell ref="C23:C24"/>
    <mergeCell ref="C27:C28"/>
    <mergeCell ref="C33:C34"/>
    <mergeCell ref="B38:B40"/>
    <mergeCell ref="C38:C39"/>
    <mergeCell ref="B27:B31"/>
    <mergeCell ref="B42:B43"/>
  </mergeCells>
  <printOptions horizontalCentered="1" verticalCentered="1"/>
  <pageMargins left="0.31496062992125984" right="0.31496062992125984" top="0.6692913385826772" bottom="0.6692913385826772" header="0.31496062992125984" footer="0.31496062992125984"/>
  <pageSetup scale="83" orientation="landscape" r:id="rId1"/>
  <headerFooter>
    <oddFooter>&amp;R&amp;8Costos Promedio - Cosecha 2425
(Metodología 2023, Junta Directiva)</oddFooter>
  </headerFooter>
  <rowBreaks count="1" manualBreakCount="1">
    <brk id="35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D4B34"/>
  </sheetPr>
  <dimension ref="B1:I44"/>
  <sheetViews>
    <sheetView showGridLines="0" topLeftCell="A18" zoomScale="110" zoomScaleNormal="110" workbookViewId="0">
      <selection activeCell="A2" sqref="A2"/>
    </sheetView>
  </sheetViews>
  <sheetFormatPr baseColWidth="10" defaultColWidth="11.42578125" defaultRowHeight="12.75"/>
  <cols>
    <col min="1" max="1" width="1.42578125" customWidth="1"/>
    <col min="2" max="2" width="32.140625" customWidth="1"/>
    <col min="3" max="3" width="18.140625" customWidth="1"/>
    <col min="4" max="4" width="10.140625" bestFit="1" customWidth="1"/>
    <col min="5" max="5" width="13.7109375" customWidth="1"/>
    <col min="6" max="6" width="10.7109375" bestFit="1" customWidth="1"/>
    <col min="7" max="7" width="12.28515625" customWidth="1"/>
    <col min="8" max="8" width="1.42578125" customWidth="1"/>
    <col min="9" max="9" width="7.7109375" bestFit="1" customWidth="1"/>
    <col min="10" max="10" width="1.42578125" customWidth="1"/>
  </cols>
  <sheetData>
    <row r="1" spans="2:9" ht="4.5" customHeight="1"/>
    <row r="2" spans="2:9" ht="15.75">
      <c r="B2" s="354" t="s">
        <v>0</v>
      </c>
      <c r="C2" s="2"/>
      <c r="D2" s="2"/>
      <c r="E2" s="2"/>
      <c r="F2" s="2"/>
      <c r="G2" s="3"/>
      <c r="H2" s="3"/>
      <c r="I2" s="3"/>
    </row>
    <row r="3" spans="2:9" ht="15.75">
      <c r="B3" s="354" t="str">
        <f>_xlfn.CONCAT("(",(IF(LEN(DATOS!E5)=1,_xlfn.CONCAT("000",DATOS!E5),IF(LEN(DATOS!E5)=2,_xlfn.CONCAT("00",DATOS!E5),IF(LEN(DATOS!E5)=3,_xlfn.CONCAT("0",DATOS!E5),DATOS!E5)))),")"," ",DATOS!E7)</f>
        <v>(0000) EL GRANO DE CAFÉ MÁS ECOLÓGICO</v>
      </c>
      <c r="C3" s="2"/>
      <c r="D3" s="2"/>
      <c r="E3" s="2"/>
      <c r="F3" s="2"/>
      <c r="G3" s="3"/>
      <c r="H3" s="3"/>
    </row>
    <row r="4" spans="2:9" ht="15.75">
      <c r="B4" s="354" t="str">
        <f>IF(DATOS!E5&lt;&gt;9999,_xlfn.CONCAT("COSECHA ",DATOS!K2),"COSECHA 2023-2024")</f>
        <v>COSECHA 2024-2025</v>
      </c>
      <c r="C4" s="2"/>
      <c r="D4" s="2"/>
      <c r="E4" s="2"/>
      <c r="F4" s="2"/>
      <c r="G4" s="3"/>
      <c r="H4" s="3"/>
      <c r="I4" s="355" t="str">
        <f>IF(DATOS!E5&lt;&gt;9999,"SIMULANDO","")</f>
        <v>SIMULANDO</v>
      </c>
    </row>
    <row r="5" spans="2:9" ht="7.5" customHeight="1">
      <c r="B5" s="2"/>
      <c r="C5" s="2"/>
      <c r="D5" s="2"/>
      <c r="E5" s="2"/>
      <c r="F5" s="2"/>
      <c r="G5" s="3"/>
    </row>
    <row r="6" spans="2:9" ht="13.5" thickBot="1">
      <c r="C6" s="4" t="s">
        <v>1</v>
      </c>
      <c r="D6" s="336" t="s">
        <v>2</v>
      </c>
      <c r="E6" s="4" t="s">
        <v>3</v>
      </c>
      <c r="F6" s="336" t="s">
        <v>2</v>
      </c>
      <c r="G6" s="4" t="s">
        <v>4</v>
      </c>
    </row>
    <row r="7" spans="2:9" ht="13.5" thickBot="1">
      <c r="B7" s="5" t="s">
        <v>5</v>
      </c>
      <c r="C7" s="6" t="s">
        <v>6</v>
      </c>
      <c r="D7" s="337" t="s">
        <v>7</v>
      </c>
      <c r="E7" s="6" t="s">
        <v>50</v>
      </c>
      <c r="F7" s="337" t="s">
        <v>8</v>
      </c>
      <c r="G7" s="6" t="s">
        <v>51</v>
      </c>
      <c r="I7" s="7" t="s">
        <v>9</v>
      </c>
    </row>
    <row r="8" spans="2:9">
      <c r="D8" s="343"/>
      <c r="F8" s="343"/>
      <c r="I8" s="8"/>
    </row>
    <row r="9" spans="2:9">
      <c r="B9" s="9" t="s">
        <v>160</v>
      </c>
      <c r="C9" s="10"/>
      <c r="D9" s="344"/>
      <c r="E9" s="10"/>
      <c r="F9" s="344"/>
      <c r="G9" s="48">
        <f>IF(SUM(G10:G12)=0,"",SUM(G10:G12))</f>
        <v>12341.709227705947</v>
      </c>
      <c r="I9" s="11">
        <f t="shared" ref="I9:I25" si="0">IF(G9="","",G9/$G$39)</f>
        <v>0.6237014692851458</v>
      </c>
    </row>
    <row r="10" spans="2:9" s="24" customFormat="1" ht="14.1" customHeight="1">
      <c r="B10" s="210" t="s">
        <v>10</v>
      </c>
      <c r="C10" s="209">
        <f>'BASE DATOS'!P7</f>
        <v>3.2656200000000002</v>
      </c>
      <c r="D10" s="345" t="s">
        <v>11</v>
      </c>
      <c r="E10" s="188">
        <f>'BASE DATOS'!O8</f>
        <v>1757.23</v>
      </c>
      <c r="F10" s="345" t="s">
        <v>52</v>
      </c>
      <c r="G10" s="213">
        <f>IF(SUM(C10,E10)=0,"",IF(C10="-",E10,C10*E10))</f>
        <v>5738.4454326000005</v>
      </c>
      <c r="I10" s="207">
        <f t="shared" si="0"/>
        <v>0.28999847441637761</v>
      </c>
    </row>
    <row r="11" spans="2:9" s="24" customFormat="1" ht="14.1" customHeight="1">
      <c r="B11" s="210" t="s">
        <v>12</v>
      </c>
      <c r="C11" s="208" t="s">
        <v>13</v>
      </c>
      <c r="D11" s="345" t="s">
        <v>13</v>
      </c>
      <c r="E11" s="188">
        <f>'BASE DATOS'!P9</f>
        <v>2776.21</v>
      </c>
      <c r="F11" s="345" t="s">
        <v>51</v>
      </c>
      <c r="G11" s="213">
        <f>IF(SUM(C11,E11)=0,"",IF(C11="-",E11,C11*E11))</f>
        <v>2776.21</v>
      </c>
      <c r="I11" s="207">
        <f t="shared" si="0"/>
        <v>0.14029874015804919</v>
      </c>
    </row>
    <row r="12" spans="2:9" s="24" customFormat="1" ht="14.1" customHeight="1">
      <c r="B12" s="210" t="s">
        <v>14</v>
      </c>
      <c r="C12" s="188">
        <f>DATOS!E30*100</f>
        <v>44.946666666666665</v>
      </c>
      <c r="D12" s="345" t="s">
        <v>15</v>
      </c>
      <c r="E12" s="188" t="s">
        <v>13</v>
      </c>
      <c r="F12" s="345" t="s">
        <v>13</v>
      </c>
      <c r="G12" s="213">
        <f>IF(SUM(G10:G11)=0,"",SUM(G10:G11)*C12/100)</f>
        <v>3827.0537951059468</v>
      </c>
      <c r="I12" s="207">
        <f t="shared" si="0"/>
        <v>0.19340425471071904</v>
      </c>
    </row>
    <row r="13" spans="2:9" ht="18" customHeight="1">
      <c r="B13" s="9" t="s">
        <v>16</v>
      </c>
      <c r="C13" s="10"/>
      <c r="D13" s="346"/>
      <c r="E13" s="15"/>
      <c r="F13" s="346"/>
      <c r="G13" s="48">
        <f>IF(SUM(G14,G19)=0,"",SUM(G14,G19))</f>
        <v>2423.7193509011208</v>
      </c>
      <c r="I13" s="19">
        <f t="shared" si="0"/>
        <v>0.12248524838831069</v>
      </c>
    </row>
    <row r="14" spans="2:9" ht="12.95" customHeight="1">
      <c r="B14" s="16" t="s">
        <v>141</v>
      </c>
      <c r="C14" s="17"/>
      <c r="D14" s="347"/>
      <c r="E14" s="18"/>
      <c r="F14" s="347"/>
      <c r="G14" s="50">
        <f>IF(SUM(G15:G18)=0,"",SUM(G15:G18))</f>
        <v>1941.5616788310001</v>
      </c>
      <c r="I14" s="31">
        <f t="shared" si="0"/>
        <v>9.8118894996825259E-2</v>
      </c>
    </row>
    <row r="15" spans="2:9" s="24" customFormat="1" ht="14.1" customHeight="1">
      <c r="B15" s="212" t="s">
        <v>17</v>
      </c>
      <c r="C15" s="188">
        <f>'BASE DATOS'!P12</f>
        <v>11.62</v>
      </c>
      <c r="D15" s="345" t="s">
        <v>18</v>
      </c>
      <c r="E15" s="188">
        <f>IF(DATOS!E19=1,'BASE DATOS'!P13,IF(DATOS!E19=2,'BASE DATOS'!P15,'BASE DATOS'!P14))</f>
        <v>79.98</v>
      </c>
      <c r="F15" s="345" t="s">
        <v>53</v>
      </c>
      <c r="G15" s="213">
        <f>IF(SUM(C15,E15)=0,"",IF(C15="-",E15,C15*E15))</f>
        <v>929.36760000000004</v>
      </c>
      <c r="I15" s="207">
        <f t="shared" si="0"/>
        <v>4.6966585173207287E-2</v>
      </c>
    </row>
    <row r="16" spans="2:9" s="24" customFormat="1" ht="14.1" customHeight="1">
      <c r="B16" s="212" t="s">
        <v>19</v>
      </c>
      <c r="C16" s="211">
        <f>'BASE DATOS'!P16</f>
        <v>6.2199999999999998E-2</v>
      </c>
      <c r="D16" s="345" t="s">
        <v>20</v>
      </c>
      <c r="E16" s="188">
        <f>IF(DATOS!E19=1,'BASE DATOS'!P17,IF(DATOS!E19=2,'BASE DATOS'!P19,'BASE DATOS'!P18))</f>
        <v>13236.95</v>
      </c>
      <c r="F16" s="345" t="s">
        <v>54</v>
      </c>
      <c r="G16" s="213">
        <f>IF(SUM(C16,E16)=0,"",IF(C16="-",E16,C16*E16))</f>
        <v>823.33829000000003</v>
      </c>
      <c r="I16" s="207">
        <f t="shared" si="0"/>
        <v>4.1608280645514049E-2</v>
      </c>
    </row>
    <row r="17" spans="2:9" s="24" customFormat="1" ht="14.1" customHeight="1">
      <c r="B17" s="212" t="s">
        <v>21</v>
      </c>
      <c r="C17" s="208" t="s">
        <v>13</v>
      </c>
      <c r="D17" s="345" t="s">
        <v>13</v>
      </c>
      <c r="E17" s="188">
        <f>'BASE DATOS'!P20</f>
        <v>52.32</v>
      </c>
      <c r="F17" s="345" t="s">
        <v>51</v>
      </c>
      <c r="G17" s="213">
        <f>IF(SUM(C17,E17)=0,"",IF(C17="-",E17,C17*E17))</f>
        <v>52.32</v>
      </c>
      <c r="I17" s="207">
        <f t="shared" si="0"/>
        <v>2.6440471308255263E-3</v>
      </c>
    </row>
    <row r="18" spans="2:9" s="24" customFormat="1" ht="14.1" customHeight="1">
      <c r="B18" s="212" t="s">
        <v>167</v>
      </c>
      <c r="C18" s="188">
        <f>DATOS!$E$22*100</f>
        <v>7.79</v>
      </c>
      <c r="D18" s="345" t="s">
        <v>15</v>
      </c>
      <c r="E18" s="188" t="s">
        <v>13</v>
      </c>
      <c r="F18" s="345" t="s">
        <v>13</v>
      </c>
      <c r="G18" s="213">
        <f>IF(SUM(G15:G16)=0,"",SUM(G15:G16)*C18/100)</f>
        <v>136.53578883100002</v>
      </c>
      <c r="H18" s="35"/>
      <c r="I18" s="207">
        <f t="shared" si="0"/>
        <v>6.8999820472783928E-3</v>
      </c>
    </row>
    <row r="19" spans="2:9" ht="15.75" customHeight="1">
      <c r="B19" s="16" t="s">
        <v>22</v>
      </c>
      <c r="D19" s="348"/>
      <c r="E19" s="14"/>
      <c r="F19" s="348"/>
      <c r="G19" s="50">
        <f>IF(SUM(G20:G21)=0,"",SUM(G20:G21))</f>
        <v>482.15767207012084</v>
      </c>
      <c r="H19" s="32"/>
      <c r="I19" s="31">
        <f t="shared" si="0"/>
        <v>2.4366353391485435E-2</v>
      </c>
    </row>
    <row r="20" spans="2:9" ht="14.1" customHeight="1">
      <c r="B20" s="212" t="s">
        <v>161</v>
      </c>
      <c r="C20" s="214">
        <f>'BASE DATOS'!O23</f>
        <v>5.1832289574004133E-2</v>
      </c>
      <c r="D20" s="345" t="s">
        <v>30</v>
      </c>
      <c r="E20" s="188">
        <f>'BASE DATOS'!O24</f>
        <v>8667.9109829531953</v>
      </c>
      <c r="F20" s="345" t="s">
        <v>55</v>
      </c>
      <c r="G20" s="213">
        <f>IF(SUM(C20,E20)=0,"",IF(C20="-",E20,C20*E20))</f>
        <v>449.27767207012084</v>
      </c>
      <c r="H20" s="33"/>
      <c r="I20" s="30">
        <f t="shared" si="0"/>
        <v>2.2704727442296915E-2</v>
      </c>
    </row>
    <row r="21" spans="2:9" ht="14.1" customHeight="1">
      <c r="B21" s="212" t="s">
        <v>23</v>
      </c>
      <c r="C21" s="208" t="s">
        <v>13</v>
      </c>
      <c r="D21" s="345" t="s">
        <v>13</v>
      </c>
      <c r="E21" s="188">
        <f>'BASE DATOS'!P25</f>
        <v>32.880000000000003</v>
      </c>
      <c r="F21" s="345" t="s">
        <v>51</v>
      </c>
      <c r="G21" s="213">
        <f>IF(SUM(C21,E21)=0,"",IF(C21="-",E21,C21*E21))</f>
        <v>32.880000000000003</v>
      </c>
      <c r="H21" s="34"/>
      <c r="I21" s="30">
        <f t="shared" si="0"/>
        <v>1.6616259491885189E-3</v>
      </c>
    </row>
    <row r="22" spans="2:9" ht="17.25" customHeight="1">
      <c r="B22" s="9" t="s">
        <v>162</v>
      </c>
      <c r="C22" s="15"/>
      <c r="D22" s="346"/>
      <c r="E22" s="15"/>
      <c r="F22" s="346"/>
      <c r="G22" s="48">
        <f>IF(SUM(G23:G25)=0,"",SUM(G23:G25))</f>
        <v>1141.5605047516287</v>
      </c>
      <c r="H22" s="34"/>
      <c r="I22" s="19">
        <f t="shared" si="0"/>
        <v>5.768998045206964E-2</v>
      </c>
    </row>
    <row r="23" spans="2:9" s="24" customFormat="1" ht="14.1" customHeight="1">
      <c r="B23" s="210" t="s">
        <v>163</v>
      </c>
      <c r="C23" s="211">
        <f>'BASE DATOS'!O27</f>
        <v>0.57269999999999999</v>
      </c>
      <c r="D23" s="349" t="s">
        <v>89</v>
      </c>
      <c r="E23" s="188">
        <f>'BASE DATOS'!P28</f>
        <v>1892.16</v>
      </c>
      <c r="F23" s="349" t="s">
        <v>92</v>
      </c>
      <c r="G23" s="213">
        <f>IF(SUM(C23,E23)=0,"",IF(C23="-",E23,C23*E23))</f>
        <v>1083.640032</v>
      </c>
      <c r="H23" s="215"/>
      <c r="I23" s="207">
        <f t="shared" si="0"/>
        <v>5.4762907443755379E-2</v>
      </c>
    </row>
    <row r="24" spans="2:9" s="24" customFormat="1" ht="14.1" customHeight="1">
      <c r="B24" s="210" t="s">
        <v>24</v>
      </c>
      <c r="C24" s="211">
        <f>'BASE DATOS'!O29</f>
        <v>0.1409</v>
      </c>
      <c r="D24" s="349" t="s">
        <v>89</v>
      </c>
      <c r="E24" s="188">
        <f>'BASE DATOS'!O30</f>
        <v>316.53990597323462</v>
      </c>
      <c r="F24" s="349" t="s">
        <v>92</v>
      </c>
      <c r="G24" s="213">
        <f>IF(SUM(C24,E24)=0,"",IF(C24="-",E24,C24*E24))</f>
        <v>44.600472751628757</v>
      </c>
      <c r="H24" s="215"/>
      <c r="I24" s="207">
        <f t="shared" si="0"/>
        <v>2.2539325690444588E-3</v>
      </c>
    </row>
    <row r="25" spans="2:9" s="24" customFormat="1" ht="14.1" customHeight="1">
      <c r="B25" s="210" t="s">
        <v>164</v>
      </c>
      <c r="C25" s="208" t="s">
        <v>13</v>
      </c>
      <c r="D25" s="345" t="s">
        <v>13</v>
      </c>
      <c r="E25" s="188">
        <f>'BASE DATOS'!P31</f>
        <v>13.32</v>
      </c>
      <c r="F25" s="345" t="s">
        <v>51</v>
      </c>
      <c r="G25" s="213">
        <f>IF(SUM(C25,E25)=0,"",IF(C25="-",E25,C25*E25))</f>
        <v>13.32</v>
      </c>
      <c r="H25" s="215"/>
      <c r="I25" s="207">
        <f t="shared" si="0"/>
        <v>6.7314043926980144E-4</v>
      </c>
    </row>
    <row r="26" spans="2:9" ht="4.5" customHeight="1">
      <c r="B26" s="12"/>
      <c r="C26" s="13"/>
      <c r="D26" s="348"/>
      <c r="E26" s="14"/>
      <c r="F26" s="348"/>
      <c r="G26" s="49"/>
      <c r="H26" s="34"/>
      <c r="I26" s="30"/>
    </row>
    <row r="27" spans="2:9" s="24" customFormat="1" ht="14.1" customHeight="1">
      <c r="B27" s="24" t="s">
        <v>25</v>
      </c>
      <c r="C27" s="188">
        <f>'BASE DATOS'!H33*100</f>
        <v>73.490220432813246</v>
      </c>
      <c r="D27" s="345" t="s">
        <v>15</v>
      </c>
      <c r="E27" s="188">
        <f>'BASE DATOS'!P34</f>
        <v>2104.29</v>
      </c>
      <c r="F27" s="345" t="s">
        <v>51</v>
      </c>
      <c r="G27" s="213">
        <f>IF(SUM(C27,E27)=0,"",IF(C27="-",E27,C27*E27/100))</f>
        <v>1546.4473595456459</v>
      </c>
      <c r="H27" s="35"/>
      <c r="I27" s="207">
        <f>IF(G27="","",G27/$G$39)</f>
        <v>7.8151370488902444E-2</v>
      </c>
    </row>
    <row r="28" spans="2:9" s="24" customFormat="1" ht="14.1" customHeight="1">
      <c r="B28" s="24" t="s">
        <v>26</v>
      </c>
      <c r="C28" s="208" t="s">
        <v>13</v>
      </c>
      <c r="D28" s="345" t="s">
        <v>13</v>
      </c>
      <c r="E28" s="188">
        <f>'BASE DATOS'!P36</f>
        <v>883.83</v>
      </c>
      <c r="F28" s="345" t="s">
        <v>51</v>
      </c>
      <c r="G28" s="213">
        <f>IF(SUM(C28,E28)=0,"",IF(C28="-",E28,C28*E28))</f>
        <v>883.83</v>
      </c>
      <c r="H28" s="35"/>
      <c r="I28" s="207">
        <f>IF(G28="","",G28/$G$39)</f>
        <v>4.4665293876864007E-2</v>
      </c>
    </row>
    <row r="29" spans="2:9" ht="18" customHeight="1">
      <c r="B29" s="9" t="s">
        <v>31</v>
      </c>
      <c r="C29" s="10"/>
      <c r="D29" s="346"/>
      <c r="E29" s="15"/>
      <c r="F29" s="346"/>
      <c r="G29" s="48">
        <f>IF(SUM(G30:G31)=0,"",SUM(G30:G31))</f>
        <v>263.6370361296469</v>
      </c>
      <c r="I29" s="19">
        <f>IF(G29="","",G29/$G$39)</f>
        <v>1.3323179452559987E-2</v>
      </c>
    </row>
    <row r="30" spans="2:9" ht="14.1" customHeight="1">
      <c r="B30" s="12" t="s">
        <v>95</v>
      </c>
      <c r="C30" s="14">
        <f>'BASE DATOS'!O38*100</f>
        <v>91.712598667517895</v>
      </c>
      <c r="D30" s="348" t="s">
        <v>15</v>
      </c>
      <c r="E30" s="14">
        <f>'BASE DATOS'!P39</f>
        <v>287.45999999999998</v>
      </c>
      <c r="F30" s="348" t="s">
        <v>51</v>
      </c>
      <c r="G30" s="49">
        <f>IF(SUM(C30,E30)=0,"",IF(C30="-",E30,C30*E30/100))</f>
        <v>263.6370361296469</v>
      </c>
      <c r="H30" s="35"/>
      <c r="I30" s="30">
        <f>IF(G30="","",G30/$G$39)</f>
        <v>1.3323179452559987E-2</v>
      </c>
    </row>
    <row r="31" spans="2:9" ht="14.1" customHeight="1">
      <c r="B31" s="12" t="s">
        <v>168</v>
      </c>
      <c r="C31" s="14" t="s">
        <v>13</v>
      </c>
      <c r="D31" s="348" t="s">
        <v>13</v>
      </c>
      <c r="E31" s="14">
        <f>IF(DATOS!E38=0,0,'BASE DATOS'!H40)</f>
        <v>0</v>
      </c>
      <c r="F31" s="348" t="s">
        <v>51</v>
      </c>
      <c r="G31" s="49">
        <f>IF(SUM(C31,E31)=0,0,IF(C31="-",E31,C31*E31))</f>
        <v>0</v>
      </c>
      <c r="H31" s="35"/>
      <c r="I31" s="30">
        <f>IF(G31="","",G31/$G$39)</f>
        <v>0</v>
      </c>
    </row>
    <row r="32" spans="2:9" ht="4.5" customHeight="1">
      <c r="B32" s="12"/>
      <c r="C32" s="13"/>
      <c r="D32" s="348"/>
      <c r="E32" s="14"/>
      <c r="F32" s="348"/>
      <c r="G32" s="49"/>
      <c r="H32" s="34"/>
      <c r="I32" s="30"/>
    </row>
    <row r="33" spans="2:9" s="24" customFormat="1" ht="14.1" customHeight="1">
      <c r="B33" s="24" t="s">
        <v>165</v>
      </c>
      <c r="C33" s="214">
        <f>'BASE DATOS'!O42</f>
        <v>0.25577729363801432</v>
      </c>
      <c r="D33" s="345" t="s">
        <v>30</v>
      </c>
      <c r="E33" s="188">
        <f>'BASE DATOS'!O43</f>
        <v>142.96408321951421</v>
      </c>
      <c r="F33" s="345" t="s">
        <v>55</v>
      </c>
      <c r="G33" s="213">
        <f>IF(SUM(C33,E33)=0,"",IF(C33="-",E33,C33*E33))</f>
        <v>36.566966293327205</v>
      </c>
      <c r="I33" s="207">
        <f>IF(G33="","",G33/$G$39)</f>
        <v>1.8479507322413135E-3</v>
      </c>
    </row>
    <row r="34" spans="2:9" s="24" customFormat="1" ht="14.1" customHeight="1">
      <c r="B34" s="24" t="s">
        <v>27</v>
      </c>
      <c r="C34" s="208" t="s">
        <v>13</v>
      </c>
      <c r="D34" s="345" t="s">
        <v>13</v>
      </c>
      <c r="E34" s="188">
        <f>'BASE DATOS'!P45</f>
        <v>252.05</v>
      </c>
      <c r="F34" s="345" t="s">
        <v>51</v>
      </c>
      <c r="G34" s="213">
        <f>IF(SUM(C34,E34)=0,"",IF(C34="-",E34,C34*E34))</f>
        <v>252.05</v>
      </c>
      <c r="I34" s="207">
        <f>IF(G34="","",G34/$G$39)</f>
        <v>1.2737616195041551E-2</v>
      </c>
    </row>
    <row r="35" spans="2:9" ht="17.25" customHeight="1">
      <c r="B35" s="9" t="s">
        <v>166</v>
      </c>
      <c r="C35" s="15"/>
      <c r="D35" s="346"/>
      <c r="E35" s="15"/>
      <c r="F35" s="346"/>
      <c r="G35" s="48">
        <f>IF(SUM(G36:G37)=0,"",SUM(G36:G37))</f>
        <v>898.32652231149291</v>
      </c>
      <c r="I35" s="19">
        <f>IF(G35="","",G35/$G$39)</f>
        <v>4.5397891128864221E-2</v>
      </c>
    </row>
    <row r="36" spans="2:9" s="24" customFormat="1" ht="14.1" customHeight="1">
      <c r="B36" s="216" t="s">
        <v>169</v>
      </c>
      <c r="C36" s="188" t="s">
        <v>13</v>
      </c>
      <c r="D36" s="345" t="s">
        <v>13</v>
      </c>
      <c r="E36" s="188">
        <f>'BASE DATOS'!O47</f>
        <v>180.12652231149283</v>
      </c>
      <c r="F36" s="345" t="s">
        <v>51</v>
      </c>
      <c r="G36" s="213">
        <f>IF(SUM(C36,E36)=0,"",IF(C36="-",E36,C36*E36))</f>
        <v>180.12652231149283</v>
      </c>
      <c r="H36" s="215"/>
      <c r="I36" s="207">
        <f>IF(G36="","",G36/$G$39)</f>
        <v>9.1028863628303276E-3</v>
      </c>
    </row>
    <row r="37" spans="2:9" s="24" customFormat="1" ht="14.1" customHeight="1">
      <c r="B37" s="210" t="s">
        <v>28</v>
      </c>
      <c r="C37" s="208" t="s">
        <v>13</v>
      </c>
      <c r="D37" s="345" t="s">
        <v>13</v>
      </c>
      <c r="E37" s="188">
        <f>'BASE DATOS'!P48</f>
        <v>718.2</v>
      </c>
      <c r="F37" s="345" t="s">
        <v>51</v>
      </c>
      <c r="G37" s="213">
        <f>IF(SUM(C37,E37)=0,"",IF(C37="-",E37,C37*E37))</f>
        <v>718.2</v>
      </c>
      <c r="H37" s="215"/>
      <c r="I37" s="207">
        <f>IF(G37="","",G37/$G$39)</f>
        <v>3.6295004766033888E-2</v>
      </c>
    </row>
    <row r="38" spans="2:9" ht="13.5" thickBot="1">
      <c r="B38" s="5"/>
      <c r="C38" s="6"/>
      <c r="D38" s="350"/>
      <c r="E38" s="5"/>
      <c r="F38" s="350"/>
      <c r="G38" s="51"/>
      <c r="I38" s="20"/>
    </row>
    <row r="39" spans="2:9" ht="16.5" customHeight="1" thickBot="1">
      <c r="C39" s="4"/>
      <c r="E39" s="407" t="s">
        <v>4</v>
      </c>
      <c r="F39" s="338" t="s">
        <v>51</v>
      </c>
      <c r="G39" s="339">
        <f>IF(SUM(G9,G13,G22,G27:G29,G33:G35)=0,"",SUM(G9,G13,G22,G27:G29,G33:G35))</f>
        <v>19787.846967638816</v>
      </c>
      <c r="I39" s="342">
        <f>IF(SUM(I9,I13,I22,I27:I29,I33:I35)=0,"",SUM(I9,I13,I22,I27:I29,I33:I35))</f>
        <v>0.99999999999999956</v>
      </c>
    </row>
    <row r="40" spans="2:9" ht="16.5" customHeight="1" thickBot="1">
      <c r="C40" s="4"/>
      <c r="E40" s="408"/>
      <c r="F40" s="340" t="s">
        <v>56</v>
      </c>
      <c r="G40" s="341">
        <f>IF(G39="","",G39/46)</f>
        <v>430.17058625301775</v>
      </c>
      <c r="I40" s="21"/>
    </row>
    <row r="41" spans="2:9" ht="18" customHeight="1">
      <c r="B41" s="22" t="s">
        <v>29</v>
      </c>
    </row>
    <row r="42" spans="2:9" ht="4.5" customHeight="1"/>
    <row r="44" spans="2:9">
      <c r="G44" s="1"/>
    </row>
  </sheetData>
  <sheetProtection algorithmName="SHA-512" hashValue="SxSzgiTgRIO1FASkUeN40gZ0LGbAW2WsMlRrPRESIrsUMxxwUarBQcvCBhQde0FYySjpwYUCpB7EGlrU+Z1PPA==" saltValue="O/TIAiY0OFODv57NJOCyjg==" spinCount="100000" sheet="1" objects="1" scenarios="1"/>
  <mergeCells count="1">
    <mergeCell ref="E39:E40"/>
  </mergeCells>
  <printOptions horizontalCentered="1" verticalCentered="1"/>
  <pageMargins left="0" right="0" top="0" bottom="0" header="0" footer="0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F5C0E-9075-4C84-A93F-7A0F2782FE5C}">
  <sheetPr>
    <tabColor rgb="FFA9A389"/>
  </sheetPr>
  <dimension ref="B1:S50"/>
  <sheetViews>
    <sheetView showGridLines="0" topLeftCell="B1" workbookViewId="0">
      <selection activeCell="B9" sqref="B9"/>
    </sheetView>
  </sheetViews>
  <sheetFormatPr baseColWidth="10" defaultColWidth="10.85546875" defaultRowHeight="12.75"/>
  <cols>
    <col min="1" max="1" width="3" style="356" customWidth="1"/>
    <col min="2" max="2" width="43.5703125" style="356" bestFit="1" customWidth="1"/>
    <col min="3" max="4" width="14" style="356" customWidth="1"/>
    <col min="5" max="5" width="12.5703125" style="356" bestFit="1" customWidth="1"/>
    <col min="6" max="7" width="10.85546875" style="356"/>
    <col min="8" max="8" width="5.7109375" style="356" bestFit="1" customWidth="1"/>
    <col min="9" max="9" width="6.28515625" style="356" bestFit="1" customWidth="1"/>
    <col min="10" max="13" width="10.85546875" style="356"/>
    <col min="14" max="14" width="12.7109375" style="356" bestFit="1" customWidth="1"/>
    <col min="15" max="16384" width="10.85546875" style="356"/>
  </cols>
  <sheetData>
    <row r="1" spans="2:10" ht="13.5" thickBot="1"/>
    <row r="2" spans="2:10" ht="15.95" customHeight="1" thickBot="1">
      <c r="B2" s="357"/>
      <c r="C2" s="358" t="str">
        <f>IF(DATOS!E5&lt;&gt;9999,_xlfn.CONCAT("Costo Beneficiado ",MID(DATOS!K2,3,2),"/",MID(DATOS!K2,8,2)),_xlfn.CONCAT("Costo Beneficiado ",MID(DATOS!K2,3,2),"/",MID(DATOS!K2,8,2)))</f>
        <v>Costo Beneficiado 24/25</v>
      </c>
      <c r="D2" s="359"/>
    </row>
    <row r="3" spans="2:10" ht="15.95" customHeight="1" thickBot="1">
      <c r="B3" s="360" t="s">
        <v>5</v>
      </c>
      <c r="C3" s="361" t="s">
        <v>51</v>
      </c>
      <c r="D3" s="362" t="s">
        <v>326</v>
      </c>
      <c r="G3" s="363"/>
    </row>
    <row r="4" spans="2:10" ht="14.1" customHeight="1">
      <c r="B4" s="364" t="s">
        <v>307</v>
      </c>
      <c r="C4" s="365">
        <f>SUM(COSTO!G10:G11)</f>
        <v>8514.6554326000005</v>
      </c>
      <c r="D4" s="378">
        <f>C4/$C$15</f>
        <v>0.43029721457442682</v>
      </c>
      <c r="F4" s="366" t="s">
        <v>308</v>
      </c>
      <c r="G4" s="380">
        <f>SUM(C4:C5)</f>
        <v>12341.709227705947</v>
      </c>
      <c r="H4" s="367">
        <f>G4/$C$15</f>
        <v>0.6237014692851458</v>
      </c>
      <c r="I4" s="368">
        <f>H4</f>
        <v>0.6237014692851458</v>
      </c>
    </row>
    <row r="5" spans="2:10" ht="14.1" customHeight="1">
      <c r="B5" s="364" t="s">
        <v>309</v>
      </c>
      <c r="C5" s="365">
        <f>COSTO!G12</f>
        <v>3827.0537951059468</v>
      </c>
      <c r="D5" s="378">
        <f t="shared" ref="D5:D14" si="0">C5/$C$15</f>
        <v>0.19340425471071904</v>
      </c>
      <c r="F5" s="369" t="s">
        <v>310</v>
      </c>
      <c r="G5" s="381">
        <f>C6</f>
        <v>1941.5616788310001</v>
      </c>
      <c r="H5" s="367">
        <f>SUM($G$4:G5)/$C$15</f>
        <v>0.72182036428197105</v>
      </c>
      <c r="I5" s="368">
        <f>H5-H4</f>
        <v>9.8118894996825246E-2</v>
      </c>
    </row>
    <row r="6" spans="2:10" ht="14.1" customHeight="1">
      <c r="B6" s="364" t="s">
        <v>311</v>
      </c>
      <c r="C6" s="365">
        <f>COSTO!G14</f>
        <v>1941.5616788310001</v>
      </c>
      <c r="D6" s="378">
        <f t="shared" si="0"/>
        <v>9.8118894996825259E-2</v>
      </c>
      <c r="F6" s="369" t="s">
        <v>312</v>
      </c>
      <c r="G6" s="381">
        <f>C9</f>
        <v>1546.4473595456459</v>
      </c>
      <c r="H6" s="367">
        <f>SUM($G$4:G6)/$C$15</f>
        <v>0.79997173477087358</v>
      </c>
      <c r="I6" s="368">
        <f t="shared" ref="I6:I12" si="1">H6-H5</f>
        <v>7.8151370488902527E-2</v>
      </c>
    </row>
    <row r="7" spans="2:10" ht="14.1" customHeight="1">
      <c r="B7" s="364" t="s">
        <v>314</v>
      </c>
      <c r="C7" s="365">
        <f>COSTO!G19</f>
        <v>482.15767207012084</v>
      </c>
      <c r="D7" s="378">
        <f t="shared" si="0"/>
        <v>2.4366353391485435E-2</v>
      </c>
      <c r="F7" s="369" t="s">
        <v>162</v>
      </c>
      <c r="G7" s="381">
        <f>C8</f>
        <v>1141.5605047516287</v>
      </c>
      <c r="H7" s="367">
        <f>SUM($G$4:G7)/$C$15</f>
        <v>0.85766171522294321</v>
      </c>
      <c r="I7" s="368">
        <f t="shared" si="1"/>
        <v>5.7689980452069634E-2</v>
      </c>
    </row>
    <row r="8" spans="2:10" ht="14.1" customHeight="1">
      <c r="B8" s="364" t="s">
        <v>315</v>
      </c>
      <c r="C8" s="365">
        <f>COSTO!G22</f>
        <v>1141.5605047516287</v>
      </c>
      <c r="D8" s="378">
        <f t="shared" si="0"/>
        <v>5.768998045206964E-2</v>
      </c>
      <c r="F8" s="369" t="s">
        <v>316</v>
      </c>
      <c r="G8" s="381">
        <f>C14</f>
        <v>898.32652231149291</v>
      </c>
      <c r="H8" s="367">
        <f>SUM($G$4:G8)/$C$15</f>
        <v>0.90305960635180749</v>
      </c>
      <c r="I8" s="368">
        <f t="shared" si="1"/>
        <v>4.5397891128864276E-2</v>
      </c>
    </row>
    <row r="9" spans="2:10" ht="14.1" customHeight="1">
      <c r="B9" s="364" t="s">
        <v>317</v>
      </c>
      <c r="C9" s="365">
        <f>COSTO!G27</f>
        <v>1546.4473595456459</v>
      </c>
      <c r="D9" s="378">
        <f t="shared" si="0"/>
        <v>7.8151370488902444E-2</v>
      </c>
      <c r="F9" s="369" t="s">
        <v>318</v>
      </c>
      <c r="G9" s="381">
        <f>C10</f>
        <v>883.83</v>
      </c>
      <c r="H9" s="367">
        <f>SUM($G$4:G9)/$C$15</f>
        <v>0.94772490022867162</v>
      </c>
      <c r="I9" s="368">
        <f t="shared" si="1"/>
        <v>4.4665293876864132E-2</v>
      </c>
    </row>
    <row r="10" spans="2:10" ht="14.1" customHeight="1">
      <c r="B10" s="364" t="s">
        <v>319</v>
      </c>
      <c r="C10" s="365">
        <f>COSTO!G28</f>
        <v>883.83</v>
      </c>
      <c r="D10" s="378">
        <f t="shared" si="0"/>
        <v>4.4665293876864007E-2</v>
      </c>
      <c r="F10" s="369" t="s">
        <v>313</v>
      </c>
      <c r="G10" s="381">
        <f>C7</f>
        <v>482.15767207012084</v>
      </c>
      <c r="H10" s="367">
        <f>SUM($G$4:G10)/$C$15</f>
        <v>0.97209125362015691</v>
      </c>
      <c r="I10" s="368">
        <f t="shared" si="1"/>
        <v>2.4366353391485296E-2</v>
      </c>
    </row>
    <row r="11" spans="2:10" ht="14.1" customHeight="1">
      <c r="B11" s="364" t="s">
        <v>31</v>
      </c>
      <c r="C11" s="365">
        <f>COSTO!G29</f>
        <v>263.6370361296469</v>
      </c>
      <c r="D11" s="378">
        <f t="shared" si="0"/>
        <v>1.3323179452559987E-2</v>
      </c>
      <c r="F11" s="369" t="s">
        <v>320</v>
      </c>
      <c r="G11" s="381">
        <f>C11</f>
        <v>263.6370361296469</v>
      </c>
      <c r="H11" s="367">
        <f>SUM($G$4:G11)/$C$15</f>
        <v>0.98541443307271692</v>
      </c>
      <c r="I11" s="368">
        <f t="shared" si="1"/>
        <v>1.3323179452560008E-2</v>
      </c>
    </row>
    <row r="12" spans="2:10" ht="14.1" customHeight="1" thickBot="1">
      <c r="B12" s="364" t="s">
        <v>321</v>
      </c>
      <c r="C12" s="365">
        <f>COSTO!G33</f>
        <v>36.566966293327205</v>
      </c>
      <c r="D12" s="378">
        <f t="shared" si="0"/>
        <v>1.8479507322413135E-3</v>
      </c>
      <c r="F12" s="370" t="s">
        <v>322</v>
      </c>
      <c r="G12" s="382">
        <f>SUM(G13:G15)</f>
        <v>288.61696629332721</v>
      </c>
      <c r="H12" s="371">
        <f>SUM($G$4:G12)/$C$15</f>
        <v>0.99999999999999978</v>
      </c>
      <c r="I12" s="372">
        <f t="shared" si="1"/>
        <v>1.4585566927282856E-2</v>
      </c>
    </row>
    <row r="13" spans="2:10" ht="14.1" customHeight="1" thickBot="1">
      <c r="B13" s="364" t="s">
        <v>27</v>
      </c>
      <c r="C13" s="365">
        <f>COSTO!G34</f>
        <v>252.05</v>
      </c>
      <c r="D13" s="378">
        <f t="shared" si="0"/>
        <v>1.2737616195041551E-2</v>
      </c>
      <c r="F13" s="373" t="s">
        <v>96</v>
      </c>
      <c r="G13" s="383">
        <f>C13</f>
        <v>252.05</v>
      </c>
      <c r="H13" s="367"/>
      <c r="I13" s="374">
        <f>SUM(I4:I12)</f>
        <v>0.99999999999999978</v>
      </c>
      <c r="J13" s="384" t="s">
        <v>327</v>
      </c>
    </row>
    <row r="14" spans="2:10" ht="14.1" customHeight="1" thickBot="1">
      <c r="B14" s="364" t="s">
        <v>325</v>
      </c>
      <c r="C14" s="365">
        <f>COSTO!G35</f>
        <v>898.32652231149291</v>
      </c>
      <c r="D14" s="378">
        <f t="shared" si="0"/>
        <v>4.5397891128864221E-2</v>
      </c>
      <c r="F14" s="373" t="s">
        <v>154</v>
      </c>
      <c r="G14" s="383">
        <f>C12</f>
        <v>36.566966293327205</v>
      </c>
    </row>
    <row r="15" spans="2:10" ht="15.95" customHeight="1" thickBot="1">
      <c r="B15" s="375" t="s">
        <v>323</v>
      </c>
      <c r="C15" s="376">
        <f>SUM(C4:C14)</f>
        <v>19787.846967638816</v>
      </c>
      <c r="D15" s="379">
        <f>SUM(D4:D14)</f>
        <v>0.99999999999999978</v>
      </c>
    </row>
    <row r="16" spans="2:10" ht="12.95" customHeight="1">
      <c r="B16" s="377" t="s">
        <v>324</v>
      </c>
    </row>
    <row r="17" spans="3:19" ht="11.45" customHeight="1"/>
    <row r="18" spans="3:19">
      <c r="C18" s="385"/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</row>
    <row r="19" spans="3:19">
      <c r="C19" s="385"/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</row>
    <row r="20" spans="3:19">
      <c r="C20" s="385"/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</row>
    <row r="21" spans="3:19">
      <c r="C21" s="385"/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</row>
    <row r="22" spans="3:19">
      <c r="C22" s="385"/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</row>
    <row r="23" spans="3:19">
      <c r="C23" s="385"/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</row>
    <row r="24" spans="3:19">
      <c r="C24" s="385"/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</row>
    <row r="25" spans="3:19">
      <c r="C25" s="385"/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</row>
    <row r="26" spans="3:19">
      <c r="C26" s="385"/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S26" s="385"/>
    </row>
    <row r="27" spans="3:19">
      <c r="C27" s="385"/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N27" s="385"/>
      <c r="O27" s="385"/>
      <c r="P27" s="385"/>
      <c r="Q27" s="385"/>
      <c r="R27" s="385"/>
      <c r="S27" s="385"/>
    </row>
    <row r="28" spans="3:19">
      <c r="C28" s="385"/>
      <c r="D28" s="385"/>
      <c r="E28" s="385"/>
      <c r="F28" s="385"/>
      <c r="G28" s="385"/>
      <c r="H28" s="385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5"/>
    </row>
    <row r="29" spans="3:19">
      <c r="C29" s="385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</row>
    <row r="30" spans="3:19">
      <c r="C30" s="385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</row>
    <row r="31" spans="3:19">
      <c r="C31" s="385"/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</row>
    <row r="32" spans="3:19">
      <c r="C32" s="385"/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</row>
    <row r="33" spans="3:19">
      <c r="C33" s="385"/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</row>
    <row r="34" spans="3:19">
      <c r="C34" s="385"/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</row>
    <row r="35" spans="3:19">
      <c r="C35" s="385"/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</row>
    <row r="36" spans="3:19">
      <c r="C36" s="385"/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5"/>
    </row>
    <row r="37" spans="3:19">
      <c r="C37" s="385"/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5"/>
    </row>
    <row r="38" spans="3:19">
      <c r="C38" s="385"/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5"/>
      <c r="S38" s="385"/>
    </row>
    <row r="39" spans="3:19"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</row>
    <row r="40" spans="3:19"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</row>
    <row r="41" spans="3:19"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</row>
    <row r="42" spans="3:19">
      <c r="C42" s="385"/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  <c r="R42" s="385"/>
      <c r="S42" s="385"/>
    </row>
    <row r="43" spans="3:19"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</row>
    <row r="44" spans="3:19">
      <c r="C44" s="385"/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</row>
    <row r="45" spans="3:19">
      <c r="C45" s="385"/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</row>
    <row r="46" spans="3:19">
      <c r="C46" s="385"/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</row>
    <row r="47" spans="3:19">
      <c r="C47" s="385"/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</row>
    <row r="48" spans="3:19">
      <c r="C48" s="385"/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</row>
    <row r="49" spans="3:19">
      <c r="C49" s="385"/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 t="s">
        <v>327</v>
      </c>
      <c r="Q49" s="385"/>
      <c r="R49" s="385"/>
      <c r="S49" s="385"/>
    </row>
    <row r="50" spans="3:19">
      <c r="C50" s="385"/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</row>
  </sheetData>
  <sheetProtection algorithmName="SHA-512" hashValue="URxspM2ifjrLCsmILwB1lXE9253EBYNT0Y5+lVhbGqiDRwTgLojGaZ/6DYDZMQG2heJ98QpJtIwhFOX/iY/0Cw==" saltValue="gxn2pIodfzEKpf9cGajrJg==" spinCount="100000" sheet="1" objects="1" scenarios="1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ASIG</vt:lpstr>
      <vt:lpstr>PRES</vt:lpstr>
      <vt:lpstr>DATOS</vt:lpstr>
      <vt:lpstr>BASE DATOS</vt:lpstr>
      <vt:lpstr>COSTO</vt:lpstr>
      <vt:lpstr>GRÁFICO</vt:lpstr>
      <vt:lpstr>'BASE DATOS'!Área_de_impresión</vt:lpstr>
      <vt:lpstr>COSTO!Área_de_impresión</vt:lpstr>
      <vt:lpstr>DATOS!Área_de_impresión</vt:lpstr>
      <vt:lpstr>'BASE DATOS'!Títulos_a_imprimir</vt:lpstr>
    </vt:vector>
  </TitlesOfParts>
  <Company>ICAFE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maraya</dc:creator>
  <cp:lastModifiedBy>Marco Araya Molina</cp:lastModifiedBy>
  <cp:lastPrinted>2026-03-31T18:30:55Z</cp:lastPrinted>
  <dcterms:created xsi:type="dcterms:W3CDTF">2010-05-12T23:10:35Z</dcterms:created>
  <dcterms:modified xsi:type="dcterms:W3CDTF">2026-03-31T21:29:00Z</dcterms:modified>
</cp:coreProperties>
</file>